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5480" windowHeight="11640" activeTab="4"/>
  </bookViews>
  <sheets>
    <sheet name="Scenario A" sheetId="1" r:id="rId1"/>
    <sheet name="Scenario B" sheetId="2" r:id="rId2"/>
    <sheet name="Scenario C" sheetId="3" r:id="rId3"/>
    <sheet name="Scenario D" sheetId="4" r:id="rId4"/>
    <sheet name="ISP Models" sheetId="5" r:id="rId5"/>
    <sheet name="reference" sheetId="6" r:id="rId6"/>
  </sheets>
  <definedNames/>
  <calcPr fullCalcOnLoad="1"/>
</workbook>
</file>

<file path=xl/comments1.xml><?xml version="1.0" encoding="utf-8"?>
<comments xmlns="http://schemas.openxmlformats.org/spreadsheetml/2006/main">
  <authors>
    <author>becky rogers ackermann</author>
  </authors>
  <commentList>
    <comment ref="A56" authorId="0">
      <text>
        <r>
          <rPr>
            <b/>
            <sz val="8"/>
            <rFont val="Tahoma"/>
            <family val="0"/>
          </rPr>
          <t>aggregate savings (or loss) to the entire ISP market from this scenario</t>
        </r>
      </text>
    </comment>
    <comment ref="A53" authorId="0">
      <text>
        <r>
          <rPr>
            <b/>
            <sz val="8"/>
            <rFont val="Tahoma"/>
            <family val="0"/>
          </rPr>
          <t>What percent of bandwidth that could be routed to the IXP is being routed to the IXP in this scenario</t>
        </r>
      </text>
    </comment>
    <comment ref="A51" authorId="0">
      <text>
        <r>
          <rPr>
            <b/>
            <sz val="8"/>
            <rFont val="Tahoma"/>
            <family val="0"/>
          </rPr>
          <t>calculated for the entire ISP segment, not per ISP</t>
        </r>
      </text>
    </comment>
    <comment ref="A49" authorId="0">
      <text>
        <r>
          <rPr>
            <b/>
            <sz val="8"/>
            <rFont val="Tahoma"/>
            <family val="0"/>
          </rPr>
          <t>calculated for the entire ISP segment, not per ISP</t>
        </r>
      </text>
    </comment>
    <comment ref="A48" authorId="0">
      <text>
        <r>
          <rPr>
            <b/>
            <sz val="8"/>
            <rFont val="Tahoma"/>
            <family val="0"/>
          </rPr>
          <t>calculated for the entire ISP segment, not per ISP</t>
        </r>
      </text>
    </comment>
    <comment ref="A47" authorId="0">
      <text>
        <r>
          <rPr>
            <b/>
            <sz val="8"/>
            <rFont val="Tahoma"/>
            <family val="0"/>
          </rPr>
          <t>calculated for the entire ISP segment, not per ISP</t>
        </r>
      </text>
    </comment>
    <comment ref="B46" authorId="0">
      <text>
        <r>
          <rPr>
            <b/>
            <sz val="8"/>
            <rFont val="Tahoma"/>
            <family val="0"/>
          </rPr>
          <t>calculated for the entire ISP segment, not per ISP</t>
        </r>
      </text>
    </comment>
    <comment ref="A44" authorId="0">
      <text>
        <r>
          <rPr>
            <b/>
            <sz val="8"/>
            <rFont val="Tahoma"/>
            <family val="0"/>
          </rPr>
          <t>the bandwidth savings from reducing international bandwidth minus the costs of the new local bandwidth and the costs of participating in the IXP</t>
        </r>
      </text>
    </comment>
    <comment ref="A42" authorId="0">
      <text>
        <r>
          <rPr>
            <b/>
            <sz val="8"/>
            <rFont val="Tahoma"/>
            <family val="0"/>
          </rPr>
          <t>an annual fee to share in the operating costs of the IXP. Set as a variable in the 'ISP Model' worksheet.</t>
        </r>
      </text>
    </comment>
    <comment ref="A41" authorId="0">
      <text>
        <r>
          <rPr>
            <b/>
            <sz val="8"/>
            <rFont val="Tahoma"/>
            <family val="0"/>
          </rPr>
          <t>the cost of the local bandwidth. This $ amount is set in the 'ISP Models' worksheet, either as a global variable, or per ISP segment</t>
        </r>
      </text>
    </comment>
    <comment ref="A40" authorId="0">
      <text>
        <r>
          <rPr>
            <b/>
            <sz val="8"/>
            <rFont val="Tahoma"/>
            <family val="0"/>
          </rPr>
          <t>How much more is the above number than the actual number of Mbps 'converted' from international to local</t>
        </r>
      </text>
    </comment>
    <comment ref="A39" authorId="0">
      <text>
        <r>
          <rPr>
            <b/>
            <sz val="8"/>
            <rFont val="Tahoma"/>
            <family val="0"/>
          </rPr>
          <t>given the standardised increments of the above number, what is the actual local bandwidth that will be going to the IXP</t>
        </r>
      </text>
    </comment>
    <comment ref="A38" authorId="0">
      <text>
        <r>
          <rPr>
            <b/>
            <sz val="8"/>
            <rFont val="Tahoma"/>
            <family val="0"/>
          </rPr>
          <t>the local bandwidth going to the IXP, counted in standard bandwidth increments that can be purchased (e.g., 64k lines are frequently the smallest increment that can be purchased)</t>
        </r>
      </text>
    </comment>
    <comment ref="A36" authorId="0">
      <text>
        <r>
          <rPr>
            <b/>
            <sz val="8"/>
            <rFont val="Tahoma"/>
            <family val="0"/>
          </rPr>
          <t>the above %, expressed as $ savings from a reduced expenditure on international bandwidth (a cost variable set in the 'ISP Models' worksheet)</t>
        </r>
      </text>
    </comment>
    <comment ref="A35" authorId="0">
      <text>
        <r>
          <rPr>
            <b/>
            <sz val="8"/>
            <rFont val="Tahoma"/>
            <family val="0"/>
          </rPr>
          <t>the above amount as a % of all the bandwidth used by an ISP in a segment is the IXP did not exist</t>
        </r>
      </text>
    </comment>
    <comment ref="A34" authorId="0">
      <text>
        <r>
          <rPr>
            <b/>
            <sz val="8"/>
            <rFont val="Tahoma"/>
            <family val="0"/>
          </rPr>
          <t>the difference between the above two amounts, i.e., how many Mbps are being converted from international to local for each ISP in a segment participating in the IXP</t>
        </r>
      </text>
    </comment>
    <comment ref="A32" authorId="0">
      <text>
        <r>
          <rPr>
            <b/>
            <sz val="8"/>
            <rFont val="Tahoma"/>
            <family val="0"/>
          </rPr>
          <t>the above amount for each ISP in a segment, reduced by their participation in the IXP</t>
        </r>
      </text>
    </comment>
    <comment ref="A31" authorId="0">
      <text>
        <r>
          <rPr>
            <b/>
            <sz val="8"/>
            <rFont val="Tahoma"/>
            <family val="0"/>
          </rPr>
          <t>How much local traffic is routed internationally by each ISP in a segment if the IXP did not exist</t>
        </r>
      </text>
    </comment>
    <comment ref="A29" authorId="0">
      <text>
        <r>
          <rPr>
            <b/>
            <sz val="8"/>
            <rFont val="Tahoma"/>
            <family val="0"/>
          </rPr>
          <t>how much of the total local traffic in the market the IXP is handling</t>
        </r>
      </text>
    </comment>
    <comment ref="A26" authorId="0">
      <text>
        <r>
          <rPr>
            <b/>
            <sz val="8"/>
            <rFont val="Tahoma"/>
            <family val="0"/>
          </rPr>
          <t>same as the above variable, but in Mbps, not %</t>
        </r>
      </text>
    </comment>
    <comment ref="A25" authorId="0">
      <text>
        <r>
          <rPr>
            <b/>
            <sz val="8"/>
            <rFont val="Tahoma"/>
            <family val="0"/>
          </rPr>
          <t>the balance of local traffic that could be routed to the IX if all ISP's were participating, but is not (i.e., how short of the hypothetical maximum is each ISP in a segment)</t>
        </r>
      </text>
    </comment>
    <comment ref="A24" authorId="0">
      <text>
        <r>
          <rPr>
            <b/>
            <sz val="8"/>
            <rFont val="Tahoma"/>
            <family val="0"/>
          </rPr>
          <t>same as above variable, but in Mbps, not %</t>
        </r>
      </text>
    </comment>
    <comment ref="A23" authorId="0">
      <text>
        <r>
          <rPr>
            <b/>
            <sz val="8"/>
            <rFont val="Tahoma"/>
            <family val="0"/>
          </rPr>
          <t>the above two %'s added together</t>
        </r>
      </text>
    </comment>
    <comment ref="A22" authorId="0">
      <text>
        <r>
          <rPr>
            <b/>
            <sz val="8"/>
            <rFont val="Tahoma"/>
            <family val="0"/>
          </rPr>
          <t>same as the variable above, but in Mbps not %</t>
        </r>
      </text>
    </comment>
    <comment ref="A21" authorId="0">
      <text>
        <r>
          <rPr>
            <b/>
            <sz val="8"/>
            <rFont val="Tahoma"/>
            <family val="0"/>
          </rPr>
          <t>same % as the earlier variable ('estimated internally routed traffic') shown here agan for comparison to the numbers above and below.</t>
        </r>
      </text>
    </comment>
    <comment ref="A20" authorId="0">
      <text>
        <r>
          <rPr>
            <b/>
            <sz val="8"/>
            <rFont val="Tahoma"/>
            <family val="0"/>
          </rPr>
          <t>same as the variable above, but in Mbps, not %</t>
        </r>
      </text>
    </comment>
    <comment ref="A19" authorId="0">
      <text>
        <r>
          <rPr>
            <b/>
            <sz val="8"/>
            <rFont val="Tahoma"/>
            <family val="0"/>
          </rPr>
          <t>How close to the hypothetical maximum is each ISP in a segment given the configuration of this scenario. The more ISP's participate in any segment, the higher this number will go.</t>
        </r>
      </text>
    </comment>
    <comment ref="A16" authorId="0">
      <text>
        <r>
          <rPr>
            <b/>
            <sz val="8"/>
            <rFont val="Tahoma"/>
            <family val="0"/>
          </rPr>
          <t>What % of the local traffic that could be peered by the ISP's in a segment is being peered</t>
        </r>
      </text>
    </comment>
    <comment ref="A15" authorId="0">
      <text>
        <r>
          <rPr>
            <b/>
            <sz val="8"/>
            <rFont val="Tahoma"/>
            <family val="0"/>
          </rPr>
          <t>what % of the ISP's in a segment choose to participate in the IXP</t>
        </r>
      </text>
    </comment>
    <comment ref="A14" authorId="0">
      <text>
        <r>
          <rPr>
            <b/>
            <sz val="8"/>
            <rFont val="Tahoma"/>
            <family val="0"/>
          </rPr>
          <t># of ISP's in each segment who choose to participate in the IXP in this scenario</t>
        </r>
      </text>
    </comment>
    <comment ref="A11"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0" authorId="0">
      <text>
        <r>
          <rPr>
            <b/>
            <sz val="8"/>
            <rFont val="Tahoma"/>
            <family val="0"/>
          </rPr>
          <t>what % of the ISP's local traffic is estimated to be between their own customers, i.e., traffic that is routed internally, within the ISP's own network. This traffic doesn't go internationally now, and would not go through an IXP in the future either.</t>
        </r>
      </text>
    </comment>
    <comment ref="A9" authorId="0">
      <text>
        <r>
          <rPr>
            <b/>
            <sz val="8"/>
            <rFont val="Tahoma"/>
            <family val="0"/>
          </rPr>
          <t>% each ISP in this category has of the total local traffic</t>
        </r>
      </text>
    </comment>
    <comment ref="A6" authorId="0">
      <text>
        <r>
          <rPr>
            <b/>
            <sz val="8"/>
            <rFont val="Tahoma"/>
            <family val="0"/>
          </rPr>
          <t>shows how much of the size (Mbps) is local traffic. Calculated using the % local traffic variable, set in the ISP Models worksheet and can be changed as a global variable or for each ISP segment independently.</t>
        </r>
      </text>
    </comment>
    <comment ref="A4" authorId="0">
      <text>
        <r>
          <rPr>
            <b/>
            <sz val="8"/>
            <rFont val="Tahoma"/>
            <family val="0"/>
          </rPr>
          <t>How many ISP's are there in each given size segment? Many will have '0'</t>
        </r>
      </text>
    </comment>
    <comment ref="A2" authorId="0">
      <text>
        <r>
          <rPr>
            <b/>
            <sz val="8"/>
            <rFont val="Tahoma"/>
            <family val="0"/>
          </rPr>
          <t>this is for reference to help remember what the sizes are for each segment. Change this on the ISP Models worksheet if appropriate.</t>
        </r>
      </text>
    </comment>
    <comment ref="A12"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List>
</comments>
</file>

<file path=xl/comments2.xml><?xml version="1.0" encoding="utf-8"?>
<comments xmlns="http://schemas.openxmlformats.org/spreadsheetml/2006/main">
  <authors>
    <author>becky rogers ackermann</author>
  </authors>
  <commentList>
    <comment ref="A2" authorId="0">
      <text>
        <r>
          <rPr>
            <b/>
            <sz val="8"/>
            <rFont val="Tahoma"/>
            <family val="0"/>
          </rPr>
          <t>this is for reference to help remember what the sizes are for each segment. Change this on the ISP Models worksheet if appropriate.</t>
        </r>
      </text>
    </comment>
    <comment ref="A4" authorId="0">
      <text>
        <r>
          <rPr>
            <b/>
            <sz val="8"/>
            <rFont val="Tahoma"/>
            <family val="0"/>
          </rPr>
          <t>How many ISP's are there in each given size segment? Many will have '0'</t>
        </r>
      </text>
    </comment>
    <comment ref="A6" authorId="0">
      <text>
        <r>
          <rPr>
            <b/>
            <sz val="8"/>
            <rFont val="Tahoma"/>
            <family val="0"/>
          </rPr>
          <t>shows how much of the size (Mbps) is local traffic. Calculated using the % local traffic variable, set in the ISP Models worksheet and can be changed as a global variable or for each ISP segment independently.</t>
        </r>
      </text>
    </comment>
    <comment ref="A9" authorId="0">
      <text>
        <r>
          <rPr>
            <b/>
            <sz val="8"/>
            <rFont val="Tahoma"/>
            <family val="0"/>
          </rPr>
          <t>% each ISP in this category has of the total local traffic</t>
        </r>
      </text>
    </comment>
    <comment ref="A10" authorId="0">
      <text>
        <r>
          <rPr>
            <b/>
            <sz val="8"/>
            <rFont val="Tahoma"/>
            <family val="0"/>
          </rPr>
          <t>what % of the ISP's local traffic is estimated to be between their own customers, i.e., traffic that is routed internally, within the ISP's own network. This traffic doesn't go internationally now, and would not go through an IXP in the future either.</t>
        </r>
      </text>
    </comment>
    <comment ref="A11"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2"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4" authorId="0">
      <text>
        <r>
          <rPr>
            <b/>
            <sz val="8"/>
            <rFont val="Tahoma"/>
            <family val="0"/>
          </rPr>
          <t># of ISP's in each segment who choose to participate in the IXP in this scenario</t>
        </r>
      </text>
    </comment>
    <comment ref="A15" authorId="0">
      <text>
        <r>
          <rPr>
            <b/>
            <sz val="8"/>
            <rFont val="Tahoma"/>
            <family val="0"/>
          </rPr>
          <t>what % of the ISP's in a segment choose to participate in the IXP</t>
        </r>
      </text>
    </comment>
    <comment ref="A16" authorId="0">
      <text>
        <r>
          <rPr>
            <b/>
            <sz val="8"/>
            <rFont val="Tahoma"/>
            <family val="0"/>
          </rPr>
          <t>What % of the local traffic that could be peered by the ISP's in a segment is being peered</t>
        </r>
      </text>
    </comment>
    <comment ref="A19" authorId="0">
      <text>
        <r>
          <rPr>
            <b/>
            <sz val="8"/>
            <rFont val="Tahoma"/>
            <family val="0"/>
          </rPr>
          <t>How close to the hypothetical maximum is each ISP in a segment given the configuration of this scenario. The more ISP's participate in any segment, the higher this number will go.</t>
        </r>
      </text>
    </comment>
    <comment ref="A20" authorId="0">
      <text>
        <r>
          <rPr>
            <b/>
            <sz val="8"/>
            <rFont val="Tahoma"/>
            <family val="0"/>
          </rPr>
          <t>same as the variable above, but in Mbps, not %</t>
        </r>
      </text>
    </comment>
    <comment ref="A21" authorId="0">
      <text>
        <r>
          <rPr>
            <b/>
            <sz val="8"/>
            <rFont val="Tahoma"/>
            <family val="0"/>
          </rPr>
          <t>same % as the earlier variable ('estimated internally routed traffic') shown here agan for comparison to the numbers above and below.</t>
        </r>
      </text>
    </comment>
    <comment ref="A22" authorId="0">
      <text>
        <r>
          <rPr>
            <b/>
            <sz val="8"/>
            <rFont val="Tahoma"/>
            <family val="0"/>
          </rPr>
          <t>same as the variable above, but in Mbps not %</t>
        </r>
      </text>
    </comment>
    <comment ref="A23" authorId="0">
      <text>
        <r>
          <rPr>
            <b/>
            <sz val="8"/>
            <rFont val="Tahoma"/>
            <family val="0"/>
          </rPr>
          <t>the above two %'s added together</t>
        </r>
      </text>
    </comment>
    <comment ref="A24" authorId="0">
      <text>
        <r>
          <rPr>
            <b/>
            <sz val="8"/>
            <rFont val="Tahoma"/>
            <family val="0"/>
          </rPr>
          <t>same as above variable, but in Mbps, not %</t>
        </r>
      </text>
    </comment>
    <comment ref="A25" authorId="0">
      <text>
        <r>
          <rPr>
            <b/>
            <sz val="8"/>
            <rFont val="Tahoma"/>
            <family val="0"/>
          </rPr>
          <t>the balance of local traffic that could be routed to the IX if all ISP's were participating, but is not (i.e., how short of the hypothetical maximum is each ISP in a segment)</t>
        </r>
      </text>
    </comment>
    <comment ref="A26" authorId="0">
      <text>
        <r>
          <rPr>
            <b/>
            <sz val="8"/>
            <rFont val="Tahoma"/>
            <family val="0"/>
          </rPr>
          <t>same as the above variable, but in Mbps, not %</t>
        </r>
      </text>
    </comment>
    <comment ref="A29" authorId="0">
      <text>
        <r>
          <rPr>
            <b/>
            <sz val="8"/>
            <rFont val="Tahoma"/>
            <family val="0"/>
          </rPr>
          <t>how much of the total local traffic in the market the IXP is handling</t>
        </r>
      </text>
    </comment>
    <comment ref="A31" authorId="0">
      <text>
        <r>
          <rPr>
            <b/>
            <sz val="8"/>
            <rFont val="Tahoma"/>
            <family val="0"/>
          </rPr>
          <t>How much local traffic is routed internationally by each ISP in a segment if the IXP did not exist</t>
        </r>
      </text>
    </comment>
    <comment ref="A32" authorId="0">
      <text>
        <r>
          <rPr>
            <b/>
            <sz val="8"/>
            <rFont val="Tahoma"/>
            <family val="0"/>
          </rPr>
          <t>the above amount for each ISP in a segment, reduced by their participation in the IXP</t>
        </r>
      </text>
    </comment>
    <comment ref="A34" authorId="0">
      <text>
        <r>
          <rPr>
            <b/>
            <sz val="8"/>
            <rFont val="Tahoma"/>
            <family val="0"/>
          </rPr>
          <t>the difference between the above two amounts, i.e., how many Mbps are being converted from international to local for each ISP in a segment participating in the IXP</t>
        </r>
      </text>
    </comment>
    <comment ref="A35" authorId="0">
      <text>
        <r>
          <rPr>
            <b/>
            <sz val="8"/>
            <rFont val="Tahoma"/>
            <family val="0"/>
          </rPr>
          <t>the above amount as a % of all the bandwidth used by an ISP in a segment is the IXP did not exist</t>
        </r>
      </text>
    </comment>
    <comment ref="A36" authorId="0">
      <text>
        <r>
          <rPr>
            <b/>
            <sz val="8"/>
            <rFont val="Tahoma"/>
            <family val="0"/>
          </rPr>
          <t>the above %, expressed as $ savings from a reduced expenditure on international bandwidth (a cost variable set in the 'ISP Models' worksheet)</t>
        </r>
      </text>
    </comment>
    <comment ref="A38" authorId="0">
      <text>
        <r>
          <rPr>
            <b/>
            <sz val="8"/>
            <rFont val="Tahoma"/>
            <family val="0"/>
          </rPr>
          <t>the local bandwidth going to the IXP, counted in standard bandwidth increments that can be purchased (e.g., 64k lines are frequently the smallest increment that can be purchased)</t>
        </r>
      </text>
    </comment>
    <comment ref="A39" authorId="0">
      <text>
        <r>
          <rPr>
            <b/>
            <sz val="8"/>
            <rFont val="Tahoma"/>
            <family val="0"/>
          </rPr>
          <t>given the standardised increments of the above number, what is the actual local bandwidth that will be going to the IXP</t>
        </r>
      </text>
    </comment>
    <comment ref="A40" authorId="0">
      <text>
        <r>
          <rPr>
            <b/>
            <sz val="8"/>
            <rFont val="Tahoma"/>
            <family val="0"/>
          </rPr>
          <t>How much more is the above number than the actual number of Mbps 'converted' from international to local</t>
        </r>
      </text>
    </comment>
    <comment ref="A41" authorId="0">
      <text>
        <r>
          <rPr>
            <b/>
            <sz val="8"/>
            <rFont val="Tahoma"/>
            <family val="0"/>
          </rPr>
          <t>the cost of the local bandwidth. This $ amount is set in the 'ISP Models' worksheet, either as a global variable, or per ISP segment</t>
        </r>
      </text>
    </comment>
    <comment ref="A42" authorId="0">
      <text>
        <r>
          <rPr>
            <b/>
            <sz val="8"/>
            <rFont val="Tahoma"/>
            <family val="0"/>
          </rPr>
          <t>an annual fee to share in the operating costs of the IXP. Set as a variable in the 'ISP Model' worksheet.</t>
        </r>
      </text>
    </comment>
    <comment ref="A44" authorId="0">
      <text>
        <r>
          <rPr>
            <b/>
            <sz val="8"/>
            <rFont val="Tahoma"/>
            <family val="0"/>
          </rPr>
          <t>the bandwidth savings from reducing international bandwidth minus the costs of the new local bandwidth and the costs of participating in the IXP</t>
        </r>
      </text>
    </comment>
    <comment ref="B46" authorId="0">
      <text>
        <r>
          <rPr>
            <b/>
            <sz val="8"/>
            <rFont val="Tahoma"/>
            <family val="0"/>
          </rPr>
          <t>calculated for the entire ISP segment, not per ISP</t>
        </r>
      </text>
    </comment>
    <comment ref="A47" authorId="0">
      <text>
        <r>
          <rPr>
            <b/>
            <sz val="8"/>
            <rFont val="Tahoma"/>
            <family val="0"/>
          </rPr>
          <t>calculated for the entire ISP segment, not per ISP</t>
        </r>
      </text>
    </comment>
    <comment ref="A48" authorId="0">
      <text>
        <r>
          <rPr>
            <b/>
            <sz val="8"/>
            <rFont val="Tahoma"/>
            <family val="0"/>
          </rPr>
          <t>calculated for the entire ISP segment, not per ISP</t>
        </r>
      </text>
    </comment>
    <comment ref="A49" authorId="0">
      <text>
        <r>
          <rPr>
            <b/>
            <sz val="8"/>
            <rFont val="Tahoma"/>
            <family val="0"/>
          </rPr>
          <t>calculated for the entire ISP segment, not per ISP</t>
        </r>
      </text>
    </comment>
    <comment ref="A51" authorId="0">
      <text>
        <r>
          <rPr>
            <b/>
            <sz val="8"/>
            <rFont val="Tahoma"/>
            <family val="0"/>
          </rPr>
          <t>calculated for the entire ISP segment, not per ISP</t>
        </r>
      </text>
    </comment>
    <comment ref="A53" authorId="0">
      <text>
        <r>
          <rPr>
            <b/>
            <sz val="8"/>
            <rFont val="Tahoma"/>
            <family val="0"/>
          </rPr>
          <t>What percent of bandwidth that could be routed to the IXP is being routed to the IXP in this scenario</t>
        </r>
      </text>
    </comment>
    <comment ref="A56" authorId="0">
      <text>
        <r>
          <rPr>
            <b/>
            <sz val="8"/>
            <rFont val="Tahoma"/>
            <family val="0"/>
          </rPr>
          <t>aggregate savings (or loss) to the entire ISP market from this scenario</t>
        </r>
      </text>
    </comment>
  </commentList>
</comments>
</file>

<file path=xl/comments3.xml><?xml version="1.0" encoding="utf-8"?>
<comments xmlns="http://schemas.openxmlformats.org/spreadsheetml/2006/main">
  <authors>
    <author>becky rogers ackermann</author>
  </authors>
  <commentList>
    <comment ref="A2" authorId="0">
      <text>
        <r>
          <rPr>
            <b/>
            <sz val="8"/>
            <rFont val="Tahoma"/>
            <family val="0"/>
          </rPr>
          <t>this is for reference to help remember what the sizes are for each segment. Change this on the ISP Models worksheet if appropriate.</t>
        </r>
      </text>
    </comment>
    <comment ref="A4" authorId="0">
      <text>
        <r>
          <rPr>
            <b/>
            <sz val="8"/>
            <rFont val="Tahoma"/>
            <family val="0"/>
          </rPr>
          <t>How many ISP's are there in each given size segment? Many will have '0'</t>
        </r>
      </text>
    </comment>
    <comment ref="A6" authorId="0">
      <text>
        <r>
          <rPr>
            <b/>
            <sz val="8"/>
            <rFont val="Tahoma"/>
            <family val="0"/>
          </rPr>
          <t>shows how much of the size (Mbps) is local traffic. Calculated using the % local traffic variable, set in the ISP Models worksheet and can be changed as a global variable or for each ISP segment independently.</t>
        </r>
      </text>
    </comment>
    <comment ref="A9" authorId="0">
      <text>
        <r>
          <rPr>
            <b/>
            <sz val="8"/>
            <rFont val="Tahoma"/>
            <family val="0"/>
          </rPr>
          <t>% each ISP in this category has of the total local traffic</t>
        </r>
      </text>
    </comment>
    <comment ref="A10" authorId="0">
      <text>
        <r>
          <rPr>
            <b/>
            <sz val="8"/>
            <rFont val="Tahoma"/>
            <family val="0"/>
          </rPr>
          <t>what % of the ISP's local traffic is estimated to be between their own customers, i.e., traffic that is routed internally, within the ISP's own network. This traffic doesn't go internationally now, and would not go through an IXP in the future either.</t>
        </r>
      </text>
    </comment>
    <comment ref="A11"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2"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4" authorId="0">
      <text>
        <r>
          <rPr>
            <b/>
            <sz val="8"/>
            <rFont val="Tahoma"/>
            <family val="0"/>
          </rPr>
          <t># of ISP's in each segment who choose to participate in the IXP in this scenario</t>
        </r>
      </text>
    </comment>
    <comment ref="A15" authorId="0">
      <text>
        <r>
          <rPr>
            <b/>
            <sz val="8"/>
            <rFont val="Tahoma"/>
            <family val="0"/>
          </rPr>
          <t>what % of the ISP's in a segment choose to participate in the IXP</t>
        </r>
      </text>
    </comment>
    <comment ref="A16" authorId="0">
      <text>
        <r>
          <rPr>
            <b/>
            <sz val="8"/>
            <rFont val="Tahoma"/>
            <family val="0"/>
          </rPr>
          <t>What % of the local traffic that could be peered by the ISP's in a segment is being peered</t>
        </r>
      </text>
    </comment>
    <comment ref="A19" authorId="0">
      <text>
        <r>
          <rPr>
            <b/>
            <sz val="8"/>
            <rFont val="Tahoma"/>
            <family val="0"/>
          </rPr>
          <t>How close to the hypothetical maximum is each ISP in a segment given the configuration of this scenario. The more ISP's participate in any segment, the higher this number will go.</t>
        </r>
      </text>
    </comment>
    <comment ref="A20" authorId="0">
      <text>
        <r>
          <rPr>
            <b/>
            <sz val="8"/>
            <rFont val="Tahoma"/>
            <family val="0"/>
          </rPr>
          <t>same as the variable above, but in Mbps, not %</t>
        </r>
      </text>
    </comment>
    <comment ref="A21" authorId="0">
      <text>
        <r>
          <rPr>
            <b/>
            <sz val="8"/>
            <rFont val="Tahoma"/>
            <family val="0"/>
          </rPr>
          <t>same % as the earlier variable ('estimated internally routed traffic') shown here agan for comparison to the numbers above and below.</t>
        </r>
      </text>
    </comment>
    <comment ref="A22" authorId="0">
      <text>
        <r>
          <rPr>
            <b/>
            <sz val="8"/>
            <rFont val="Tahoma"/>
            <family val="0"/>
          </rPr>
          <t>same as the variable above, but in Mbps not %</t>
        </r>
      </text>
    </comment>
    <comment ref="A23" authorId="0">
      <text>
        <r>
          <rPr>
            <b/>
            <sz val="8"/>
            <rFont val="Tahoma"/>
            <family val="0"/>
          </rPr>
          <t>the above two %'s added together</t>
        </r>
      </text>
    </comment>
    <comment ref="A24" authorId="0">
      <text>
        <r>
          <rPr>
            <b/>
            <sz val="8"/>
            <rFont val="Tahoma"/>
            <family val="0"/>
          </rPr>
          <t>same as above variable, but in Mbps, not %</t>
        </r>
      </text>
    </comment>
    <comment ref="A25" authorId="0">
      <text>
        <r>
          <rPr>
            <b/>
            <sz val="8"/>
            <rFont val="Tahoma"/>
            <family val="0"/>
          </rPr>
          <t>the balance of local traffic that could be routed to the IX if all ISP's were participating, but is not (i.e., how short of the hypothetical maximum is each ISP in a segment)</t>
        </r>
      </text>
    </comment>
    <comment ref="A26" authorId="0">
      <text>
        <r>
          <rPr>
            <b/>
            <sz val="8"/>
            <rFont val="Tahoma"/>
            <family val="0"/>
          </rPr>
          <t>same as the above variable, but in Mbps, not %</t>
        </r>
      </text>
    </comment>
    <comment ref="A29" authorId="0">
      <text>
        <r>
          <rPr>
            <b/>
            <sz val="8"/>
            <rFont val="Tahoma"/>
            <family val="0"/>
          </rPr>
          <t>how much of the total local traffic in the market the IXP is handling</t>
        </r>
      </text>
    </comment>
    <comment ref="A31" authorId="0">
      <text>
        <r>
          <rPr>
            <b/>
            <sz val="8"/>
            <rFont val="Tahoma"/>
            <family val="0"/>
          </rPr>
          <t>How much local traffic is routed internationally by each ISP in a segment if the IXP did not exist</t>
        </r>
      </text>
    </comment>
    <comment ref="A32" authorId="0">
      <text>
        <r>
          <rPr>
            <b/>
            <sz val="8"/>
            <rFont val="Tahoma"/>
            <family val="0"/>
          </rPr>
          <t>the above amount for each ISP in a segment, reduced by their participation in the IXP</t>
        </r>
      </text>
    </comment>
    <comment ref="A34" authorId="0">
      <text>
        <r>
          <rPr>
            <b/>
            <sz val="8"/>
            <rFont val="Tahoma"/>
            <family val="0"/>
          </rPr>
          <t>the difference between the above two amounts, i.e., how many Mbps are being converted from international to local for each ISP in a segment participating in the IXP</t>
        </r>
      </text>
    </comment>
    <comment ref="A35" authorId="0">
      <text>
        <r>
          <rPr>
            <b/>
            <sz val="8"/>
            <rFont val="Tahoma"/>
            <family val="0"/>
          </rPr>
          <t>the above amount as a % of all the bandwidth used by an ISP in a segment is the IXP did not exist</t>
        </r>
      </text>
    </comment>
    <comment ref="A36" authorId="0">
      <text>
        <r>
          <rPr>
            <b/>
            <sz val="8"/>
            <rFont val="Tahoma"/>
            <family val="0"/>
          </rPr>
          <t>the above %, expressed as $ savings from a reduced expenditure on international bandwidth (a cost variable set in the 'ISP Models' worksheet)</t>
        </r>
      </text>
    </comment>
    <comment ref="A38" authorId="0">
      <text>
        <r>
          <rPr>
            <b/>
            <sz val="8"/>
            <rFont val="Tahoma"/>
            <family val="0"/>
          </rPr>
          <t>the local bandwidth going to the IXP, counted in standard bandwidth increments that can be purchased (e.g., 64k lines are frequently the smallest increment that can be purchased)</t>
        </r>
      </text>
    </comment>
    <comment ref="A39" authorId="0">
      <text>
        <r>
          <rPr>
            <b/>
            <sz val="8"/>
            <rFont val="Tahoma"/>
            <family val="0"/>
          </rPr>
          <t>given the standardised increments of the above number, what is the actual local bandwidth that will be going to the IXP</t>
        </r>
      </text>
    </comment>
    <comment ref="A40" authorId="0">
      <text>
        <r>
          <rPr>
            <b/>
            <sz val="8"/>
            <rFont val="Tahoma"/>
            <family val="0"/>
          </rPr>
          <t>How much more is the above number than the actual number of Mbps 'converted' from international to local</t>
        </r>
      </text>
    </comment>
    <comment ref="A41" authorId="0">
      <text>
        <r>
          <rPr>
            <b/>
            <sz val="8"/>
            <rFont val="Tahoma"/>
            <family val="0"/>
          </rPr>
          <t>the cost of the local bandwidth. This $ amount is set in the 'ISP Models' worksheet, either as a global variable, or per ISP segment</t>
        </r>
      </text>
    </comment>
    <comment ref="A42" authorId="0">
      <text>
        <r>
          <rPr>
            <b/>
            <sz val="8"/>
            <rFont val="Tahoma"/>
            <family val="0"/>
          </rPr>
          <t>an annual fee to share in the operating costs of the IXP. Set as a variable in the 'ISP Model' worksheet.</t>
        </r>
      </text>
    </comment>
    <comment ref="A44" authorId="0">
      <text>
        <r>
          <rPr>
            <b/>
            <sz val="8"/>
            <rFont val="Tahoma"/>
            <family val="0"/>
          </rPr>
          <t>the bandwidth savings from reducing international bandwidth minus the costs of the new local bandwidth and the costs of participating in the IXP</t>
        </r>
      </text>
    </comment>
    <comment ref="B46" authorId="0">
      <text>
        <r>
          <rPr>
            <b/>
            <sz val="8"/>
            <rFont val="Tahoma"/>
            <family val="0"/>
          </rPr>
          <t>calculated for the entire ISP segment, not per ISP</t>
        </r>
      </text>
    </comment>
    <comment ref="A47" authorId="0">
      <text>
        <r>
          <rPr>
            <b/>
            <sz val="8"/>
            <rFont val="Tahoma"/>
            <family val="0"/>
          </rPr>
          <t>calculated for the entire ISP segment, not per ISP</t>
        </r>
      </text>
    </comment>
    <comment ref="A48" authorId="0">
      <text>
        <r>
          <rPr>
            <b/>
            <sz val="8"/>
            <rFont val="Tahoma"/>
            <family val="0"/>
          </rPr>
          <t>calculated for the entire ISP segment, not per ISP</t>
        </r>
      </text>
    </comment>
    <comment ref="A49" authorId="0">
      <text>
        <r>
          <rPr>
            <b/>
            <sz val="8"/>
            <rFont val="Tahoma"/>
            <family val="0"/>
          </rPr>
          <t>calculated for the entire ISP segment, not per ISP</t>
        </r>
      </text>
    </comment>
    <comment ref="A51" authorId="0">
      <text>
        <r>
          <rPr>
            <b/>
            <sz val="8"/>
            <rFont val="Tahoma"/>
            <family val="0"/>
          </rPr>
          <t>calculated for the entire ISP segment, not per ISP</t>
        </r>
      </text>
    </comment>
    <comment ref="A53" authorId="0">
      <text>
        <r>
          <rPr>
            <b/>
            <sz val="8"/>
            <rFont val="Tahoma"/>
            <family val="0"/>
          </rPr>
          <t>What percent of bandwidth that could be routed to the IXP is being routed to the IXP in this scenario</t>
        </r>
      </text>
    </comment>
    <comment ref="A56" authorId="0">
      <text>
        <r>
          <rPr>
            <b/>
            <sz val="8"/>
            <rFont val="Tahoma"/>
            <family val="0"/>
          </rPr>
          <t>aggregate savings (or loss) to the entire ISP market from this scenario</t>
        </r>
      </text>
    </comment>
  </commentList>
</comments>
</file>

<file path=xl/comments4.xml><?xml version="1.0" encoding="utf-8"?>
<comments xmlns="http://schemas.openxmlformats.org/spreadsheetml/2006/main">
  <authors>
    <author>becky rogers ackermann</author>
  </authors>
  <commentList>
    <comment ref="A2" authorId="0">
      <text>
        <r>
          <rPr>
            <b/>
            <sz val="8"/>
            <rFont val="Tahoma"/>
            <family val="0"/>
          </rPr>
          <t>this is for reference to help remember what the sizes are for each segment. Change this on the ISP Models worksheet if appropriate.</t>
        </r>
      </text>
    </comment>
    <comment ref="A4" authorId="0">
      <text>
        <r>
          <rPr>
            <b/>
            <sz val="8"/>
            <rFont val="Tahoma"/>
            <family val="0"/>
          </rPr>
          <t>How many ISP's are there in each given size segment? Many will have '0'</t>
        </r>
      </text>
    </comment>
    <comment ref="A6" authorId="0">
      <text>
        <r>
          <rPr>
            <b/>
            <sz val="8"/>
            <rFont val="Tahoma"/>
            <family val="0"/>
          </rPr>
          <t>shows how much of the size (Mbps) is local traffic. Calculated using the % local traffic variable, set in the ISP Models worksheet and can be changed as a global variable or for each ISP segment independently.</t>
        </r>
      </text>
    </comment>
    <comment ref="A9" authorId="0">
      <text>
        <r>
          <rPr>
            <b/>
            <sz val="8"/>
            <rFont val="Tahoma"/>
            <family val="0"/>
          </rPr>
          <t>% each ISP in this category has of the total local traffic</t>
        </r>
      </text>
    </comment>
    <comment ref="A10" authorId="0">
      <text>
        <r>
          <rPr>
            <b/>
            <sz val="8"/>
            <rFont val="Tahoma"/>
            <family val="0"/>
          </rPr>
          <t>what % of the ISP's local traffic is estimated to be between their own customers, i.e., traffic that is routed internally, within the ISP's own network. This traffic doesn't go internationally now, and would not go through an IXP in the future either.</t>
        </r>
      </text>
    </comment>
    <comment ref="A11"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2"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4" authorId="0">
      <text>
        <r>
          <rPr>
            <b/>
            <sz val="8"/>
            <rFont val="Tahoma"/>
            <family val="0"/>
          </rPr>
          <t># of ISP's in each segment who choose to participate in the IXP in this scenario</t>
        </r>
      </text>
    </comment>
    <comment ref="A15" authorId="0">
      <text>
        <r>
          <rPr>
            <b/>
            <sz val="8"/>
            <rFont val="Tahoma"/>
            <family val="0"/>
          </rPr>
          <t>what % of the ISP's in a segment choose to participate in the IXP</t>
        </r>
      </text>
    </comment>
    <comment ref="A16" authorId="0">
      <text>
        <r>
          <rPr>
            <b/>
            <sz val="8"/>
            <rFont val="Tahoma"/>
            <family val="0"/>
          </rPr>
          <t>What % of the local traffic that could be peered by the ISP's in a segment is being peered</t>
        </r>
      </text>
    </comment>
    <comment ref="A19" authorId="0">
      <text>
        <r>
          <rPr>
            <b/>
            <sz val="8"/>
            <rFont val="Tahoma"/>
            <family val="0"/>
          </rPr>
          <t>How close to the hypothetical maximum is each ISP in a segment given the configuration of this scenario. The more ISP's participate in any segment, the higher this number will go.</t>
        </r>
      </text>
    </comment>
    <comment ref="A20" authorId="0">
      <text>
        <r>
          <rPr>
            <b/>
            <sz val="8"/>
            <rFont val="Tahoma"/>
            <family val="0"/>
          </rPr>
          <t>same as the variable above, but in Mbps, not %</t>
        </r>
      </text>
    </comment>
    <comment ref="A21" authorId="0">
      <text>
        <r>
          <rPr>
            <b/>
            <sz val="8"/>
            <rFont val="Tahoma"/>
            <family val="0"/>
          </rPr>
          <t>same % as the earlier variable ('estimated internally routed traffic') shown here agan for comparison to the numbers above and below.</t>
        </r>
      </text>
    </comment>
    <comment ref="A22" authorId="0">
      <text>
        <r>
          <rPr>
            <b/>
            <sz val="8"/>
            <rFont val="Tahoma"/>
            <family val="0"/>
          </rPr>
          <t>same as the variable above, but in Mbps not %</t>
        </r>
      </text>
    </comment>
    <comment ref="A23" authorId="0">
      <text>
        <r>
          <rPr>
            <b/>
            <sz val="8"/>
            <rFont val="Tahoma"/>
            <family val="0"/>
          </rPr>
          <t>the above two %'s added together</t>
        </r>
      </text>
    </comment>
    <comment ref="A24" authorId="0">
      <text>
        <r>
          <rPr>
            <b/>
            <sz val="8"/>
            <rFont val="Tahoma"/>
            <family val="0"/>
          </rPr>
          <t>same as above variable, but in Mbps, not %</t>
        </r>
      </text>
    </comment>
    <comment ref="A25" authorId="0">
      <text>
        <r>
          <rPr>
            <b/>
            <sz val="8"/>
            <rFont val="Tahoma"/>
            <family val="0"/>
          </rPr>
          <t>the balance of local traffic that could be routed to the IX if all ISP's were participating, but is not (i.e., how short of the hypothetical maximum is each ISP in a segment)</t>
        </r>
      </text>
    </comment>
    <comment ref="A26" authorId="0">
      <text>
        <r>
          <rPr>
            <b/>
            <sz val="8"/>
            <rFont val="Tahoma"/>
            <family val="0"/>
          </rPr>
          <t>same as the above variable, but in Mbps, not %</t>
        </r>
      </text>
    </comment>
    <comment ref="A29" authorId="0">
      <text>
        <r>
          <rPr>
            <b/>
            <sz val="8"/>
            <rFont val="Tahoma"/>
            <family val="0"/>
          </rPr>
          <t>how much of the total local traffic in the market the IXP is handling</t>
        </r>
      </text>
    </comment>
    <comment ref="A31" authorId="0">
      <text>
        <r>
          <rPr>
            <b/>
            <sz val="8"/>
            <rFont val="Tahoma"/>
            <family val="0"/>
          </rPr>
          <t>How much local traffic is routed internationally by each ISP in a segment if the IXP did not exist</t>
        </r>
      </text>
    </comment>
    <comment ref="A32" authorId="0">
      <text>
        <r>
          <rPr>
            <b/>
            <sz val="8"/>
            <rFont val="Tahoma"/>
            <family val="0"/>
          </rPr>
          <t>the above amount for each ISP in a segment, reduced by their participation in the IXP</t>
        </r>
      </text>
    </comment>
    <comment ref="A34" authorId="0">
      <text>
        <r>
          <rPr>
            <b/>
            <sz val="8"/>
            <rFont val="Tahoma"/>
            <family val="0"/>
          </rPr>
          <t>the difference between the above two amounts, i.e., how many Mbps are being converted from international to local for each ISP in a segment participating in the IXP</t>
        </r>
      </text>
    </comment>
    <comment ref="A35" authorId="0">
      <text>
        <r>
          <rPr>
            <b/>
            <sz val="8"/>
            <rFont val="Tahoma"/>
            <family val="0"/>
          </rPr>
          <t>the above amount as a % of all the bandwidth used by an ISP in a segment is the IXP did not exist</t>
        </r>
      </text>
    </comment>
    <comment ref="A36" authorId="0">
      <text>
        <r>
          <rPr>
            <b/>
            <sz val="8"/>
            <rFont val="Tahoma"/>
            <family val="0"/>
          </rPr>
          <t>the above %, expressed as $ savings from a reduced expenditure on international bandwidth (a cost variable set in the 'ISP Models' worksheet)</t>
        </r>
      </text>
    </comment>
    <comment ref="A38" authorId="0">
      <text>
        <r>
          <rPr>
            <b/>
            <sz val="8"/>
            <rFont val="Tahoma"/>
            <family val="0"/>
          </rPr>
          <t>the local bandwidth going to the IXP, counted in standard bandwidth increments that can be purchased (e.g., 64k lines are frequently the smallest increment that can be purchased)</t>
        </r>
      </text>
    </comment>
    <comment ref="A39" authorId="0">
      <text>
        <r>
          <rPr>
            <b/>
            <sz val="8"/>
            <rFont val="Tahoma"/>
            <family val="0"/>
          </rPr>
          <t>given the standardised increments of the above number, what is the actual local bandwidth that will be going to the IXP</t>
        </r>
      </text>
    </comment>
    <comment ref="A40" authorId="0">
      <text>
        <r>
          <rPr>
            <b/>
            <sz val="8"/>
            <rFont val="Tahoma"/>
            <family val="0"/>
          </rPr>
          <t>How much more is the above number than the actual number of Mbps 'converted' from international to local</t>
        </r>
      </text>
    </comment>
    <comment ref="A41" authorId="0">
      <text>
        <r>
          <rPr>
            <b/>
            <sz val="8"/>
            <rFont val="Tahoma"/>
            <family val="0"/>
          </rPr>
          <t>the cost of the local bandwidth. This $ amount is set in the 'ISP Models' worksheet, either as a global variable, or per ISP segment</t>
        </r>
      </text>
    </comment>
    <comment ref="A42" authorId="0">
      <text>
        <r>
          <rPr>
            <b/>
            <sz val="8"/>
            <rFont val="Tahoma"/>
            <family val="0"/>
          </rPr>
          <t>an annual fee to share in the operating costs of the IXP. Set as a variable in the 'ISP Model' worksheet.</t>
        </r>
      </text>
    </comment>
    <comment ref="A44" authorId="0">
      <text>
        <r>
          <rPr>
            <b/>
            <sz val="8"/>
            <rFont val="Tahoma"/>
            <family val="0"/>
          </rPr>
          <t>the bandwidth savings from reducing international bandwidth minus the costs of the new local bandwidth and the costs of participating in the IXP</t>
        </r>
      </text>
    </comment>
    <comment ref="B46" authorId="0">
      <text>
        <r>
          <rPr>
            <b/>
            <sz val="8"/>
            <rFont val="Tahoma"/>
            <family val="0"/>
          </rPr>
          <t>calculated for the entire ISP segment, not per ISP</t>
        </r>
      </text>
    </comment>
    <comment ref="A47" authorId="0">
      <text>
        <r>
          <rPr>
            <b/>
            <sz val="8"/>
            <rFont val="Tahoma"/>
            <family val="0"/>
          </rPr>
          <t>calculated for the entire ISP segment, not per ISP</t>
        </r>
      </text>
    </comment>
    <comment ref="A48" authorId="0">
      <text>
        <r>
          <rPr>
            <b/>
            <sz val="8"/>
            <rFont val="Tahoma"/>
            <family val="0"/>
          </rPr>
          <t>calculated for the entire ISP segment, not per ISP</t>
        </r>
      </text>
    </comment>
    <comment ref="A49" authorId="0">
      <text>
        <r>
          <rPr>
            <b/>
            <sz val="8"/>
            <rFont val="Tahoma"/>
            <family val="0"/>
          </rPr>
          <t>calculated for the entire ISP segment, not per ISP</t>
        </r>
      </text>
    </comment>
    <comment ref="A51" authorId="0">
      <text>
        <r>
          <rPr>
            <b/>
            <sz val="8"/>
            <rFont val="Tahoma"/>
            <family val="0"/>
          </rPr>
          <t>calculated for the entire ISP segment, not per ISP</t>
        </r>
      </text>
    </comment>
    <comment ref="A53" authorId="0">
      <text>
        <r>
          <rPr>
            <b/>
            <sz val="8"/>
            <rFont val="Tahoma"/>
            <family val="0"/>
          </rPr>
          <t>What percent of bandwidth that could be routed to the IXP is being routed to the IXP in this scenario</t>
        </r>
      </text>
    </comment>
    <comment ref="A56" authorId="0">
      <text>
        <r>
          <rPr>
            <b/>
            <sz val="8"/>
            <rFont val="Tahoma"/>
            <family val="0"/>
          </rPr>
          <t>aggregate savings (or loss) to the entire ISP market from this scenario</t>
        </r>
      </text>
    </comment>
  </commentList>
</comments>
</file>

<file path=xl/comments5.xml><?xml version="1.0" encoding="utf-8"?>
<comments xmlns="http://schemas.openxmlformats.org/spreadsheetml/2006/main">
  <authors>
    <author>becky rogers ackermann</author>
  </authors>
  <commentList>
    <comment ref="A6" authorId="0">
      <text>
        <r>
          <rPr>
            <b/>
            <sz val="8"/>
            <rFont val="Tahoma"/>
            <family val="0"/>
          </rPr>
          <t>transit cost  (internet access) + point to point cost (from your city to wherever you're going to connect to the internet)</t>
        </r>
      </text>
    </comment>
    <comment ref="A11" authorId="0">
      <text>
        <r>
          <rPr>
            <b/>
            <sz val="8"/>
            <rFont val="Tahoma"/>
            <family val="0"/>
          </rPr>
          <t>traffic that originates or is destined within the same country (but not the same network)</t>
        </r>
      </text>
    </comment>
    <comment ref="A15" authorId="0">
      <text>
        <r>
          <rPr>
            <b/>
            <sz val="8"/>
            <rFont val="Tahoma"/>
            <family val="0"/>
          </rPr>
          <t>cost of share of operating peering point + cost to connect your network to that peering point</t>
        </r>
      </text>
    </comment>
  </commentList>
</comments>
</file>

<file path=xl/sharedStrings.xml><?xml version="1.0" encoding="utf-8"?>
<sst xmlns="http://schemas.openxmlformats.org/spreadsheetml/2006/main" count="267" uniqueCount="94">
  <si>
    <t>bandwidth savings due to peering, per year per ISP</t>
  </si>
  <si>
    <t>bandwidth costs due to peering, per year, per ISP</t>
  </si>
  <si>
    <t>peering participation cost per year per ISP</t>
  </si>
  <si>
    <t>Cost of international bandwidth ($/Mbps/month)</t>
  </si>
  <si>
    <t>Cost of local bandwidth ($/Mbps/month)</t>
  </si>
  <si>
    <t>standard local bandwidth increment (Mbps)</t>
  </si>
  <si>
    <t>Global variables:</t>
  </si>
  <si>
    <t>Average % of traffic that is local</t>
  </si>
  <si>
    <t>Fee to participate in peering, per ISP per year</t>
  </si>
  <si>
    <t>net savings (loss) due to peering</t>
  </si>
  <si>
    <t>Mbps own local traffic being peered</t>
  </si>
  <si>
    <t>Mbps internally routed traffic</t>
  </si>
  <si>
    <t>subtotal, Mbps local traffic routed locally</t>
  </si>
  <si>
    <t>Mbps local traffic routed internationally (or otherwise)</t>
  </si>
  <si>
    <t>bandwidth costs due to peering, /year /segment</t>
  </si>
  <si>
    <t>peering participation cost /year /segment</t>
  </si>
  <si>
    <t>Mbps converted int'l to local, per ISP</t>
  </si>
  <si>
    <t>Mbps converted int'l to local /segment</t>
  </si>
  <si>
    <t># of bandwidth increments required locally</t>
  </si>
  <si>
    <t>Mbps local bandwidth acquired</t>
  </si>
  <si>
    <t>excess capacity, Mbps</t>
  </si>
  <si>
    <t>peering potential of market</t>
  </si>
  <si>
    <t xml:space="preserve"> Mbps own local traffic to peer</t>
  </si>
  <si>
    <t>total bandwidth in market (Mbps capacity)</t>
  </si>
  <si>
    <t>% local traffic</t>
  </si>
  <si>
    <t>MEDIUM</t>
  </si>
  <si>
    <t>SMALL</t>
  </si>
  <si>
    <t>M1</t>
  </si>
  <si>
    <t>M2</t>
  </si>
  <si>
    <t>M3</t>
  </si>
  <si>
    <t>S1</t>
  </si>
  <si>
    <t>S2</t>
  </si>
  <si>
    <t>S3</t>
  </si>
  <si>
    <t>S4</t>
  </si>
  <si>
    <t>MY ISP</t>
  </si>
  <si>
    <t>ISP</t>
  </si>
  <si>
    <t>today</t>
  </si>
  <si>
    <t>Bandwidth reference</t>
  </si>
  <si>
    <t>POTS</t>
  </si>
  <si>
    <t>ISDN</t>
  </si>
  <si>
    <t>Satellite/Wireless</t>
  </si>
  <si>
    <t>T1</t>
  </si>
  <si>
    <t>E1</t>
  </si>
  <si>
    <t>T2</t>
  </si>
  <si>
    <t>IDSL</t>
  </si>
  <si>
    <t>T3</t>
  </si>
  <si>
    <t>FDDI</t>
  </si>
  <si>
    <t>OC3</t>
  </si>
  <si>
    <t>OC24</t>
  </si>
  <si>
    <t>Mbps</t>
  </si>
  <si>
    <t>avg. cost per month ($/Mbps)</t>
  </si>
  <si>
    <t>total cost per year</t>
  </si>
  <si>
    <t>total cost per month</t>
  </si>
  <si>
    <t>local traffic cost per year</t>
  </si>
  <si>
    <t>local bandwidth per year</t>
  </si>
  <si>
    <t xml:space="preserve">ISP Type: </t>
  </si>
  <si>
    <t xml:space="preserve">Reference code: </t>
  </si>
  <si>
    <t>bandwidth  (Mbps)</t>
  </si>
  <si>
    <t>local point-to-point cost per month ($/Mbps)</t>
  </si>
  <si>
    <t>LARGE</t>
  </si>
  <si>
    <t>L1</t>
  </si>
  <si>
    <t>L2</t>
  </si>
  <si>
    <t>L3</t>
  </si>
  <si>
    <t>ISP MODELS</t>
  </si>
  <si>
    <t>Scenario A</t>
  </si>
  <si>
    <t># of each</t>
  </si>
  <si>
    <t>local point-to-point cost per year</t>
  </si>
  <si>
    <t>size (Mbps capacity)</t>
  </si>
  <si>
    <t>My ISP</t>
  </si>
  <si>
    <t>Market Total</t>
  </si>
  <si>
    <t># peering</t>
  </si>
  <si>
    <t>% peering</t>
  </si>
  <si>
    <t>% own local traffic being peered</t>
  </si>
  <si>
    <t>peering strength of market</t>
  </si>
  <si>
    <t>Per ISP in Market:</t>
  </si>
  <si>
    <t>%  bandwidth</t>
  </si>
  <si>
    <t xml:space="preserve"> % own local traffic to peer</t>
  </si>
  <si>
    <t>estimated internally routed traffic</t>
  </si>
  <si>
    <t>Per ISP Peering:</t>
  </si>
  <si>
    <t>peered traffic as % of total local bandwidth in market</t>
  </si>
  <si>
    <t>% internally routed traffic</t>
  </si>
  <si>
    <t>subtotal, % local traffic routed locally</t>
  </si>
  <si>
    <t>Peering Analysis:</t>
  </si>
  <si>
    <t>local traffic routed internationally, w/ peering, Mbps</t>
  </si>
  <si>
    <t>local traffic routed internationally, no peering, Mbps</t>
  </si>
  <si>
    <t>market segment relative local bandwidth 'strength'</t>
  </si>
  <si>
    <t>% local traffic routed internationally (or otherwise)</t>
  </si>
  <si>
    <t>segment 'strength' from peering</t>
  </si>
  <si>
    <t>as % of total bandwidth per ISP</t>
  </si>
  <si>
    <t>savings due to peering, /year, /segment</t>
  </si>
  <si>
    <t>annual savings due to peering in this scenario</t>
  </si>
  <si>
    <t>Scenario B</t>
  </si>
  <si>
    <t>Scenario C</t>
  </si>
  <si>
    <t>Scenario D</t>
  </si>
</sst>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
    <numFmt numFmtId="180" formatCode="_(* #,##0.0_);_(* \(#,##0.0\);_(* &quot;-&quot;??_);_(@_)"/>
    <numFmt numFmtId="181" formatCode="_(* #,##0_);_(* \(#,##0\);_(* &quot;-&quot;??_);_(@_)"/>
    <numFmt numFmtId="182" formatCode="_(&quot;$&quot;* #,##0.0_);_(&quot;$&quot;* \(#,##0.0\);_(&quot;$&quot;* &quot;-&quot;??_);_(@_)"/>
    <numFmt numFmtId="183" formatCode="_(&quot;$&quot;* #,##0_);_(&quot;$&quot;* \(#,##0\);_(&quot;$&quot;* &quot;-&quot;??_);_(@_)"/>
    <numFmt numFmtId="184" formatCode="0.0%"/>
    <numFmt numFmtId="185" formatCode="0.000%"/>
    <numFmt numFmtId="186" formatCode="_(* #,##0.000_);_(* \(#,##0.000\);_(* &quot;-&quot;???_);_(@_)"/>
    <numFmt numFmtId="187" formatCode="_(* #,##0.000_);_(* \(#,##0.000\);_(* &quot;-&quot;??_);_(@_)"/>
    <numFmt numFmtId="188" formatCode="_(* #,##0.0000_);_(* \(#,##0.0000\);_(* &quot;-&quot;??_);_(@_)"/>
    <numFmt numFmtId="189" formatCode="[$$-409]#,##0"/>
  </numFmts>
  <fonts count="7">
    <font>
      <sz val="10"/>
      <name val="Arial"/>
      <family val="0"/>
    </font>
    <font>
      <sz val="8"/>
      <name val="Arial"/>
      <family val="0"/>
    </font>
    <font>
      <b/>
      <sz val="8"/>
      <name val="Tahoma"/>
      <family val="0"/>
    </font>
    <font>
      <b/>
      <sz val="8"/>
      <color indexed="9"/>
      <name val="Arial"/>
      <family val="2"/>
    </font>
    <font>
      <b/>
      <sz val="8"/>
      <name val="Arial"/>
      <family val="2"/>
    </font>
    <font>
      <u val="single"/>
      <sz val="10"/>
      <color indexed="12"/>
      <name val="Arial"/>
      <family val="0"/>
    </font>
    <font>
      <u val="single"/>
      <sz val="10"/>
      <color indexed="36"/>
      <name val="Arial"/>
      <family val="0"/>
    </font>
  </fonts>
  <fills count="9">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19">
    <border>
      <left/>
      <right/>
      <top/>
      <bottom/>
      <diagonal/>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style="medium"/>
      <top>
        <color indexed="63"/>
      </top>
      <bottom style="double"/>
    </border>
    <border>
      <left>
        <color indexed="63"/>
      </left>
      <right>
        <color indexed="63"/>
      </right>
      <top>
        <color indexed="63"/>
      </top>
      <bottom style="double"/>
    </border>
    <border>
      <left style="medium"/>
      <right>
        <color indexed="63"/>
      </right>
      <top>
        <color indexed="63"/>
      </top>
      <bottom>
        <color indexed="63"/>
      </bottom>
    </border>
    <border>
      <left>
        <color indexed="63"/>
      </left>
      <right style="thin"/>
      <top>
        <color indexed="63"/>
      </top>
      <bottom style="double"/>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179" fontId="0" fillId="0" borderId="0" xfId="0" applyNumberFormat="1" applyAlignment="1">
      <alignment/>
    </xf>
    <xf numFmtId="0" fontId="3" fillId="2" borderId="0" xfId="0" applyFont="1" applyFill="1" applyAlignment="1">
      <alignment/>
    </xf>
    <xf numFmtId="0" fontId="1" fillId="0" borderId="0" xfId="0" applyFont="1" applyAlignment="1">
      <alignment/>
    </xf>
    <xf numFmtId="0" fontId="1" fillId="3" borderId="1" xfId="0" applyFont="1" applyFill="1" applyBorder="1" applyAlignment="1">
      <alignment/>
    </xf>
    <xf numFmtId="0" fontId="1" fillId="4" borderId="0" xfId="0" applyFont="1" applyFill="1" applyAlignment="1">
      <alignment/>
    </xf>
    <xf numFmtId="0" fontId="1" fillId="5" borderId="0" xfId="0" applyFont="1" applyFill="1" applyAlignment="1">
      <alignment/>
    </xf>
    <xf numFmtId="0" fontId="1" fillId="6" borderId="0" xfId="0" applyFont="1" applyFill="1" applyAlignment="1">
      <alignment/>
    </xf>
    <xf numFmtId="0" fontId="1" fillId="0" borderId="0" xfId="0" applyFont="1" applyAlignment="1">
      <alignment horizontal="left"/>
    </xf>
    <xf numFmtId="0" fontId="1" fillId="0" borderId="2" xfId="0" applyFont="1" applyBorder="1" applyAlignment="1">
      <alignment/>
    </xf>
    <xf numFmtId="181" fontId="1" fillId="0" borderId="0" xfId="15" applyNumberFormat="1" applyFont="1" applyAlignment="1">
      <alignment/>
    </xf>
    <xf numFmtId="0" fontId="1" fillId="0" borderId="3" xfId="0" applyFont="1" applyBorder="1" applyAlignment="1">
      <alignment/>
    </xf>
    <xf numFmtId="0" fontId="1" fillId="7" borderId="2" xfId="0" applyFont="1" applyFill="1" applyBorder="1" applyAlignment="1">
      <alignment/>
    </xf>
    <xf numFmtId="0" fontId="1" fillId="7" borderId="0" xfId="0" applyFont="1" applyFill="1" applyAlignment="1">
      <alignment/>
    </xf>
    <xf numFmtId="181" fontId="1" fillId="0" borderId="2" xfId="15" applyNumberFormat="1" applyFont="1" applyFill="1" applyBorder="1" applyAlignment="1">
      <alignment/>
    </xf>
    <xf numFmtId="181" fontId="1" fillId="0" borderId="0" xfId="15" applyNumberFormat="1" applyFont="1" applyFill="1" applyBorder="1" applyAlignment="1">
      <alignment/>
    </xf>
    <xf numFmtId="0" fontId="1" fillId="0" borderId="0" xfId="0" applyFont="1" applyAlignment="1">
      <alignment horizontal="left" indent="1"/>
    </xf>
    <xf numFmtId="185" fontId="1" fillId="0" borderId="2" xfId="21" applyNumberFormat="1" applyFont="1" applyFill="1" applyBorder="1" applyAlignment="1">
      <alignment/>
    </xf>
    <xf numFmtId="185" fontId="1" fillId="0" borderId="0" xfId="21" applyNumberFormat="1" applyFont="1" applyFill="1" applyBorder="1" applyAlignment="1">
      <alignment/>
    </xf>
    <xf numFmtId="0" fontId="1" fillId="0" borderId="2" xfId="0" applyFont="1" applyFill="1" applyBorder="1" applyAlignment="1">
      <alignment/>
    </xf>
    <xf numFmtId="0" fontId="1" fillId="0" borderId="0" xfId="0" applyFont="1" applyFill="1" applyBorder="1" applyAlignment="1">
      <alignment/>
    </xf>
    <xf numFmtId="9" fontId="1" fillId="0" borderId="2" xfId="21" applyFont="1" applyBorder="1" applyAlignment="1">
      <alignment/>
    </xf>
    <xf numFmtId="9" fontId="1" fillId="0" borderId="0" xfId="21" applyFont="1" applyAlignment="1">
      <alignment/>
    </xf>
    <xf numFmtId="171" fontId="1" fillId="0" borderId="2" xfId="15" applyNumberFormat="1" applyFont="1" applyBorder="1" applyAlignment="1">
      <alignment/>
    </xf>
    <xf numFmtId="171" fontId="1" fillId="0" borderId="0" xfId="15" applyNumberFormat="1" applyFont="1" applyAlignment="1">
      <alignment/>
    </xf>
    <xf numFmtId="185" fontId="1" fillId="0" borderId="2" xfId="21" applyNumberFormat="1" applyFont="1" applyBorder="1" applyAlignment="1">
      <alignment/>
    </xf>
    <xf numFmtId="185" fontId="1" fillId="0" borderId="0" xfId="21" applyNumberFormat="1" applyFont="1" applyAlignment="1">
      <alignment/>
    </xf>
    <xf numFmtId="185" fontId="1" fillId="0" borderId="0" xfId="21" applyNumberFormat="1" applyFont="1" applyBorder="1" applyAlignment="1">
      <alignment/>
    </xf>
    <xf numFmtId="171" fontId="1" fillId="0" borderId="2" xfId="15" applyFont="1" applyBorder="1" applyAlignment="1">
      <alignment/>
    </xf>
    <xf numFmtId="171" fontId="1" fillId="0" borderId="0" xfId="15" applyFont="1" applyBorder="1" applyAlignment="1">
      <alignment/>
    </xf>
    <xf numFmtId="171" fontId="1" fillId="0" borderId="4" xfId="15" applyFont="1" applyBorder="1" applyAlignment="1">
      <alignment/>
    </xf>
    <xf numFmtId="171" fontId="1" fillId="0" borderId="5" xfId="15" applyFont="1" applyBorder="1" applyAlignment="1">
      <alignment/>
    </xf>
    <xf numFmtId="10" fontId="1" fillId="0" borderId="2" xfId="21" applyNumberFormat="1" applyFont="1" applyBorder="1" applyAlignment="1">
      <alignment/>
    </xf>
    <xf numFmtId="10" fontId="1" fillId="0" borderId="0" xfId="21" applyNumberFormat="1" applyFont="1" applyAlignment="1">
      <alignment/>
    </xf>
    <xf numFmtId="183" fontId="1" fillId="0" borderId="2" xfId="17" applyNumberFormat="1" applyFont="1" applyBorder="1" applyAlignment="1">
      <alignment/>
    </xf>
    <xf numFmtId="183" fontId="1" fillId="0" borderId="0" xfId="17" applyNumberFormat="1" applyFont="1" applyAlignment="1">
      <alignment/>
    </xf>
    <xf numFmtId="181" fontId="1" fillId="0" borderId="2" xfId="15" applyNumberFormat="1" applyFont="1" applyBorder="1" applyAlignment="1">
      <alignment/>
    </xf>
    <xf numFmtId="181" fontId="1" fillId="0" borderId="6" xfId="15" applyNumberFormat="1" applyFont="1" applyBorder="1" applyAlignment="1">
      <alignment/>
    </xf>
    <xf numFmtId="181" fontId="1" fillId="0" borderId="0" xfId="15" applyNumberFormat="1" applyFont="1" applyBorder="1" applyAlignment="1">
      <alignment/>
    </xf>
    <xf numFmtId="187" fontId="1" fillId="0" borderId="2" xfId="15" applyNumberFormat="1" applyFont="1" applyBorder="1" applyAlignment="1">
      <alignment/>
    </xf>
    <xf numFmtId="187" fontId="1" fillId="0" borderId="6" xfId="15" applyNumberFormat="1" applyFont="1" applyBorder="1" applyAlignment="1">
      <alignment/>
    </xf>
    <xf numFmtId="187" fontId="1" fillId="0" borderId="0" xfId="15" applyNumberFormat="1" applyFont="1" applyBorder="1" applyAlignment="1">
      <alignment/>
    </xf>
    <xf numFmtId="183" fontId="1" fillId="0" borderId="6" xfId="17" applyNumberFormat="1" applyFont="1" applyBorder="1" applyAlignment="1">
      <alignment/>
    </xf>
    <xf numFmtId="183" fontId="1" fillId="0" borderId="0" xfId="17" applyNumberFormat="1" applyFont="1" applyBorder="1" applyAlignment="1">
      <alignment/>
    </xf>
    <xf numFmtId="183" fontId="1" fillId="0" borderId="4" xfId="17" applyNumberFormat="1" applyFont="1" applyBorder="1" applyAlignment="1">
      <alignment/>
    </xf>
    <xf numFmtId="183" fontId="1" fillId="0" borderId="5" xfId="17" applyNumberFormat="1" applyFont="1" applyBorder="1" applyAlignment="1">
      <alignment/>
    </xf>
    <xf numFmtId="183" fontId="1" fillId="0" borderId="7" xfId="17" applyNumberFormat="1" applyFont="1" applyBorder="1" applyAlignment="1">
      <alignment/>
    </xf>
    <xf numFmtId="183" fontId="1" fillId="0" borderId="8" xfId="17" applyNumberFormat="1" applyFont="1" applyBorder="1" applyAlignment="1">
      <alignment/>
    </xf>
    <xf numFmtId="184" fontId="1" fillId="0" borderId="0" xfId="21" applyNumberFormat="1" applyFont="1" applyAlignment="1">
      <alignment/>
    </xf>
    <xf numFmtId="183" fontId="1" fillId="0" borderId="0" xfId="0" applyNumberFormat="1" applyFont="1" applyAlignment="1">
      <alignment/>
    </xf>
    <xf numFmtId="0" fontId="4"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2" borderId="2" xfId="0" applyFont="1" applyFill="1" applyBorder="1" applyAlignment="1">
      <alignment/>
    </xf>
    <xf numFmtId="0" fontId="1" fillId="2" borderId="0" xfId="0" applyFont="1" applyFill="1" applyBorder="1" applyAlignment="1">
      <alignment/>
    </xf>
    <xf numFmtId="0" fontId="1" fillId="2" borderId="0" xfId="0" applyFont="1" applyFill="1" applyAlignment="1">
      <alignment/>
    </xf>
    <xf numFmtId="0" fontId="1" fillId="2" borderId="3" xfId="0" applyFont="1" applyFill="1" applyBorder="1" applyAlignment="1">
      <alignment/>
    </xf>
    <xf numFmtId="181" fontId="1" fillId="7" borderId="2" xfId="15" applyNumberFormat="1" applyFont="1" applyFill="1" applyBorder="1" applyAlignment="1">
      <alignment/>
    </xf>
    <xf numFmtId="181" fontId="1" fillId="7" borderId="0" xfId="15" applyNumberFormat="1" applyFont="1" applyFill="1" applyBorder="1" applyAlignment="1">
      <alignment/>
    </xf>
    <xf numFmtId="181" fontId="1" fillId="7" borderId="0" xfId="15" applyNumberFormat="1" applyFont="1" applyFill="1" applyAlignment="1">
      <alignment/>
    </xf>
    <xf numFmtId="181" fontId="1" fillId="7" borderId="3" xfId="15" applyNumberFormat="1" applyFont="1" applyFill="1" applyBorder="1" applyAlignment="1">
      <alignment/>
    </xf>
    <xf numFmtId="183" fontId="1" fillId="0" borderId="2" xfId="17" applyNumberFormat="1" applyFont="1" applyBorder="1" applyAlignment="1">
      <alignment horizontal="left"/>
    </xf>
    <xf numFmtId="183" fontId="1" fillId="0" borderId="0" xfId="17" applyNumberFormat="1"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left" indent="1"/>
    </xf>
    <xf numFmtId="187" fontId="1" fillId="0" borderId="0" xfId="15" applyNumberFormat="1" applyFont="1" applyAlignment="1">
      <alignment/>
    </xf>
    <xf numFmtId="0" fontId="4" fillId="0" borderId="0" xfId="0" applyFont="1" applyAlignment="1">
      <alignment horizontal="left"/>
    </xf>
    <xf numFmtId="171" fontId="1" fillId="0" borderId="2" xfId="15" applyNumberFormat="1" applyFont="1" applyFill="1" applyBorder="1" applyAlignment="1">
      <alignment/>
    </xf>
    <xf numFmtId="171" fontId="1" fillId="0" borderId="0" xfId="15" applyNumberFormat="1" applyFont="1" applyFill="1" applyBorder="1" applyAlignment="1">
      <alignment/>
    </xf>
    <xf numFmtId="0" fontId="1" fillId="3" borderId="9" xfId="0" applyFont="1" applyFill="1" applyBorder="1" applyAlignment="1">
      <alignment/>
    </xf>
    <xf numFmtId="0" fontId="1" fillId="4" borderId="10" xfId="0" applyFont="1" applyFill="1" applyBorder="1" applyAlignment="1">
      <alignment/>
    </xf>
    <xf numFmtId="0" fontId="1" fillId="5" borderId="10" xfId="0" applyFont="1" applyFill="1" applyBorder="1" applyAlignment="1">
      <alignment/>
    </xf>
    <xf numFmtId="0" fontId="1" fillId="6" borderId="10" xfId="0" applyFont="1" applyFill="1" applyBorder="1" applyAlignment="1">
      <alignment/>
    </xf>
    <xf numFmtId="0" fontId="1" fillId="8" borderId="11" xfId="0" applyFont="1" applyFill="1" applyBorder="1" applyAlignment="1">
      <alignment/>
    </xf>
    <xf numFmtId="181" fontId="1" fillId="0" borderId="12" xfId="0" applyNumberFormat="1" applyFont="1" applyBorder="1" applyAlignment="1">
      <alignment/>
    </xf>
    <xf numFmtId="0" fontId="1" fillId="0" borderId="13" xfId="0" applyFont="1" applyBorder="1" applyAlignment="1">
      <alignment/>
    </xf>
    <xf numFmtId="171" fontId="1" fillId="0" borderId="13" xfId="0" applyNumberFormat="1" applyFont="1" applyBorder="1" applyAlignment="1">
      <alignment/>
    </xf>
    <xf numFmtId="181" fontId="1" fillId="0" borderId="13" xfId="0" applyNumberFormat="1" applyFont="1" applyBorder="1" applyAlignment="1">
      <alignment/>
    </xf>
    <xf numFmtId="0" fontId="1" fillId="7" borderId="0" xfId="0" applyFont="1" applyFill="1" applyAlignment="1">
      <alignment horizontal="left"/>
    </xf>
    <xf numFmtId="183" fontId="1" fillId="0" borderId="8" xfId="17" applyNumberFormat="1" applyFont="1" applyFill="1" applyBorder="1" applyAlignment="1">
      <alignment/>
    </xf>
    <xf numFmtId="183" fontId="1" fillId="0" borderId="14" xfId="17" applyNumberFormat="1" applyFont="1" applyFill="1" applyBorder="1" applyAlignment="1">
      <alignment/>
    </xf>
    <xf numFmtId="183" fontId="1" fillId="0" borderId="15" xfId="17" applyNumberFormat="1" applyFont="1" applyFill="1" applyBorder="1" applyAlignment="1">
      <alignment/>
    </xf>
    <xf numFmtId="183" fontId="1" fillId="0" borderId="16" xfId="17" applyNumberFormat="1" applyFont="1" applyFill="1" applyBorder="1" applyAlignment="1">
      <alignment/>
    </xf>
    <xf numFmtId="0" fontId="4" fillId="0" borderId="0" xfId="0" applyFont="1" applyFill="1" applyAlignment="1">
      <alignment horizontal="left" indent="1"/>
    </xf>
    <xf numFmtId="0" fontId="4" fillId="0" borderId="17" xfId="0" applyFont="1" applyFill="1" applyBorder="1" applyAlignment="1">
      <alignment/>
    </xf>
    <xf numFmtId="183" fontId="4" fillId="0" borderId="18" xfId="0" applyNumberFormat="1" applyFont="1" applyFill="1" applyBorder="1" applyAlignment="1">
      <alignment/>
    </xf>
    <xf numFmtId="183" fontId="1" fillId="0" borderId="14" xfId="17" applyNumberFormat="1" applyFont="1" applyBorder="1" applyAlignment="1">
      <alignment/>
    </xf>
    <xf numFmtId="183" fontId="1" fillId="0" borderId="15" xfId="17" applyNumberFormat="1" applyFont="1" applyBorder="1" applyAlignment="1">
      <alignment/>
    </xf>
    <xf numFmtId="183" fontId="1" fillId="0" borderId="16" xfId="17" applyNumberFormat="1" applyFont="1" applyBorder="1" applyAlignment="1">
      <alignment/>
    </xf>
    <xf numFmtId="183" fontId="1" fillId="0" borderId="18" xfId="0" applyNumberFormat="1" applyFont="1" applyBorder="1" applyAlignment="1">
      <alignment/>
    </xf>
    <xf numFmtId="0" fontId="4" fillId="0" borderId="17" xfId="0" applyFont="1" applyBorder="1" applyAlignment="1">
      <alignment/>
    </xf>
    <xf numFmtId="0" fontId="4" fillId="0" borderId="0" xfId="0" applyFont="1" applyAlignment="1">
      <alignment horizontal="left" indent="1"/>
    </xf>
    <xf numFmtId="0" fontId="1" fillId="0" borderId="0" xfId="0" applyFont="1" applyFill="1" applyAlignment="1">
      <alignment horizontal="left"/>
    </xf>
    <xf numFmtId="9" fontId="1" fillId="0" borderId="2" xfId="21" applyFont="1" applyFill="1" applyBorder="1" applyAlignment="1">
      <alignment/>
    </xf>
    <xf numFmtId="9" fontId="1" fillId="0" borderId="6" xfId="21" applyFont="1" applyFill="1" applyBorder="1" applyAlignment="1">
      <alignment/>
    </xf>
    <xf numFmtId="9" fontId="1" fillId="0" borderId="0" xfId="21" applyFont="1" applyFill="1" applyBorder="1" applyAlignment="1">
      <alignment/>
    </xf>
    <xf numFmtId="0" fontId="4" fillId="0" borderId="0"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6"/>
  <sheetViews>
    <sheetView workbookViewId="0" topLeftCell="A28">
      <selection activeCell="B56" sqref="A56:B56"/>
    </sheetView>
  </sheetViews>
  <sheetFormatPr defaultColWidth="9.140625" defaultRowHeight="12.75"/>
  <cols>
    <col min="1" max="1" width="47.00390625" style="0" bestFit="1" customWidth="1"/>
    <col min="2" max="2" width="8.7109375" style="0" bestFit="1" customWidth="1"/>
    <col min="3" max="4" width="7.7109375" style="0" bestFit="1" customWidth="1"/>
    <col min="5" max="6" width="7.28125" style="0" bestFit="1" customWidth="1"/>
    <col min="7" max="7" width="8.28125" style="0" bestFit="1" customWidth="1"/>
    <col min="8" max="9" width="7.28125" style="0" bestFit="1" customWidth="1"/>
    <col min="10" max="10" width="8.7109375" style="0" bestFit="1" customWidth="1"/>
    <col min="11" max="11" width="7.28125" style="0" bestFit="1" customWidth="1"/>
    <col min="12" max="12" width="8.7109375" style="0" bestFit="1" customWidth="1"/>
    <col min="13" max="13" width="11.28125" style="0" bestFit="1" customWidth="1"/>
    <col min="14" max="16384" width="8.8515625" style="0" customWidth="1"/>
  </cols>
  <sheetData>
    <row r="1" spans="1:13" s="3" customFormat="1" ht="12" thickBot="1">
      <c r="A1" s="2" t="s">
        <v>64</v>
      </c>
      <c r="B1" s="69" t="s">
        <v>68</v>
      </c>
      <c r="C1" s="70" t="s">
        <v>60</v>
      </c>
      <c r="D1" s="70" t="s">
        <v>61</v>
      </c>
      <c r="E1" s="70" t="s">
        <v>62</v>
      </c>
      <c r="F1" s="71" t="s">
        <v>27</v>
      </c>
      <c r="G1" s="71" t="s">
        <v>28</v>
      </c>
      <c r="H1" s="71" t="s">
        <v>29</v>
      </c>
      <c r="I1" s="72" t="s">
        <v>30</v>
      </c>
      <c r="J1" s="72" t="s">
        <v>31</v>
      </c>
      <c r="K1" s="72" t="s">
        <v>32</v>
      </c>
      <c r="L1" s="72" t="s">
        <v>33</v>
      </c>
      <c r="M1" s="73" t="s">
        <v>69</v>
      </c>
    </row>
    <row r="2" spans="1:13" s="3" customFormat="1" ht="11.25">
      <c r="A2" s="8" t="s">
        <v>67</v>
      </c>
      <c r="B2" s="9">
        <f>'ISP Models'!$B$5</f>
        <v>5</v>
      </c>
      <c r="C2" s="10">
        <f>'ISP Models'!$C$5</f>
        <v>50000</v>
      </c>
      <c r="D2" s="10">
        <f>'ISP Models'!$D$5</f>
        <v>10000</v>
      </c>
      <c r="E2" s="10">
        <f>'ISP Models'!$E$5</f>
        <v>2500</v>
      </c>
      <c r="F2" s="10">
        <f>'ISP Models'!$F$5</f>
        <v>1000</v>
      </c>
      <c r="G2" s="10">
        <f>'ISP Models'!$G$5</f>
        <v>500</v>
      </c>
      <c r="H2" s="10">
        <f>'ISP Models'!$H$5</f>
        <v>250</v>
      </c>
      <c r="I2" s="10">
        <f>'ISP Models'!$I$5</f>
        <v>100</v>
      </c>
      <c r="J2" s="10">
        <f>'ISP Models'!$J$5</f>
        <v>20</v>
      </c>
      <c r="K2" s="10">
        <f>'ISP Models'!$K$5</f>
        <v>5</v>
      </c>
      <c r="L2" s="10">
        <f>'ISP Models'!$L$5</f>
        <v>2</v>
      </c>
      <c r="M2" s="77"/>
    </row>
    <row r="3" spans="1:13" s="3" customFormat="1" ht="11.25">
      <c r="A3" s="8"/>
      <c r="B3" s="9"/>
      <c r="M3" s="75"/>
    </row>
    <row r="4" spans="1:13" s="3" customFormat="1" ht="11.25">
      <c r="A4" s="78" t="s">
        <v>65</v>
      </c>
      <c r="B4" s="12">
        <v>1</v>
      </c>
      <c r="C4" s="13">
        <v>0</v>
      </c>
      <c r="D4" s="13">
        <v>0</v>
      </c>
      <c r="E4" s="13">
        <v>0</v>
      </c>
      <c r="F4" s="13">
        <v>0</v>
      </c>
      <c r="G4" s="13">
        <v>1</v>
      </c>
      <c r="H4" s="13">
        <v>0</v>
      </c>
      <c r="I4" s="13">
        <v>0</v>
      </c>
      <c r="J4" s="13">
        <v>1</v>
      </c>
      <c r="K4" s="13">
        <v>0</v>
      </c>
      <c r="L4" s="13">
        <v>4</v>
      </c>
      <c r="M4" s="75"/>
    </row>
    <row r="5" spans="1:13" s="3" customFormat="1" ht="11.25">
      <c r="A5" s="8" t="s">
        <v>23</v>
      </c>
      <c r="B5" s="67">
        <f>+B4*B2</f>
        <v>5</v>
      </c>
      <c r="C5" s="68">
        <f aca="true" t="shared" si="0" ref="C5:L5">+C4*C2</f>
        <v>0</v>
      </c>
      <c r="D5" s="68">
        <f t="shared" si="0"/>
        <v>0</v>
      </c>
      <c r="E5" s="68">
        <f t="shared" si="0"/>
        <v>0</v>
      </c>
      <c r="F5" s="68">
        <f t="shared" si="0"/>
        <v>0</v>
      </c>
      <c r="G5" s="68">
        <f t="shared" si="0"/>
        <v>500</v>
      </c>
      <c r="H5" s="68">
        <f t="shared" si="0"/>
        <v>0</v>
      </c>
      <c r="I5" s="68">
        <f t="shared" si="0"/>
        <v>0</v>
      </c>
      <c r="J5" s="68">
        <f t="shared" si="0"/>
        <v>20</v>
      </c>
      <c r="K5" s="68">
        <f t="shared" si="0"/>
        <v>0</v>
      </c>
      <c r="L5" s="68">
        <f t="shared" si="0"/>
        <v>8</v>
      </c>
      <c r="M5" s="76">
        <f>SUM(B5:L5)</f>
        <v>533</v>
      </c>
    </row>
    <row r="6" spans="1:13" s="3" customFormat="1" ht="11.25">
      <c r="A6" s="8" t="s">
        <v>85</v>
      </c>
      <c r="B6" s="67">
        <f>B4*B2*'ISP Models'!B$11</f>
        <v>1.5</v>
      </c>
      <c r="C6" s="68">
        <f>C4*C2*'ISP Models'!C$11</f>
        <v>0</v>
      </c>
      <c r="D6" s="68">
        <f>D4*D2*'ISP Models'!D$11</f>
        <v>0</v>
      </c>
      <c r="E6" s="68">
        <f>E4*E2*'ISP Models'!E$11</f>
        <v>0</v>
      </c>
      <c r="F6" s="68">
        <f>F4*F2*'ISP Models'!F$11</f>
        <v>0</v>
      </c>
      <c r="G6" s="68">
        <f>G4*G2*'ISP Models'!G$11</f>
        <v>150</v>
      </c>
      <c r="H6" s="68">
        <f>H4*H2*'ISP Models'!H$11</f>
        <v>0</v>
      </c>
      <c r="I6" s="68">
        <f>I4*I2*'ISP Models'!I$11</f>
        <v>0</v>
      </c>
      <c r="J6" s="68">
        <f>J4*J2*'ISP Models'!J$11</f>
        <v>6</v>
      </c>
      <c r="K6" s="68">
        <f>K4*K2*'ISP Models'!K$11</f>
        <v>0</v>
      </c>
      <c r="L6" s="68">
        <f>L4*L2*'ISP Models'!L$11</f>
        <v>2.4</v>
      </c>
      <c r="M6" s="76">
        <f>SUM(B6:L6)</f>
        <v>159.9</v>
      </c>
    </row>
    <row r="7" spans="1:13" s="3" customFormat="1" ht="11.25">
      <c r="A7" s="8"/>
      <c r="B7" s="14"/>
      <c r="C7" s="15"/>
      <c r="D7" s="15"/>
      <c r="E7" s="15"/>
      <c r="F7" s="15"/>
      <c r="G7" s="15"/>
      <c r="H7" s="15"/>
      <c r="I7" s="15"/>
      <c r="J7" s="15"/>
      <c r="K7" s="15"/>
      <c r="L7" s="15"/>
      <c r="M7" s="77"/>
    </row>
    <row r="8" spans="1:13" s="3" customFormat="1" ht="11.25">
      <c r="A8" s="66" t="s">
        <v>74</v>
      </c>
      <c r="B8" s="14"/>
      <c r="C8" s="15"/>
      <c r="D8" s="15"/>
      <c r="E8" s="15"/>
      <c r="F8" s="15"/>
      <c r="G8" s="15"/>
      <c r="H8" s="15"/>
      <c r="I8" s="15"/>
      <c r="J8" s="15"/>
      <c r="K8" s="15"/>
      <c r="L8" s="15"/>
      <c r="M8" s="77"/>
    </row>
    <row r="9" spans="1:13" s="3" customFormat="1" ht="11.25">
      <c r="A9" s="16" t="s">
        <v>75</v>
      </c>
      <c r="B9" s="17">
        <f aca="true" t="shared" si="1" ref="B9:L9">IF(B4&gt;0,B6/SUM($B$6:$L$6)/B4,0)</f>
        <v>0.009380863039399624</v>
      </c>
      <c r="C9" s="18">
        <f t="shared" si="1"/>
        <v>0</v>
      </c>
      <c r="D9" s="18">
        <f t="shared" si="1"/>
        <v>0</v>
      </c>
      <c r="E9" s="18">
        <f t="shared" si="1"/>
        <v>0</v>
      </c>
      <c r="F9" s="18">
        <f t="shared" si="1"/>
        <v>0</v>
      </c>
      <c r="G9" s="18">
        <f t="shared" si="1"/>
        <v>0.9380863039399624</v>
      </c>
      <c r="H9" s="18">
        <f t="shared" si="1"/>
        <v>0</v>
      </c>
      <c r="I9" s="18">
        <f t="shared" si="1"/>
        <v>0</v>
      </c>
      <c r="J9" s="18">
        <f t="shared" si="1"/>
        <v>0.037523452157598496</v>
      </c>
      <c r="K9" s="18">
        <f t="shared" si="1"/>
        <v>0</v>
      </c>
      <c r="L9" s="18">
        <f t="shared" si="1"/>
        <v>0.0037523452157598495</v>
      </c>
      <c r="M9" s="75"/>
    </row>
    <row r="10" spans="1:13" s="3" customFormat="1" ht="11.25">
      <c r="A10" s="16" t="s">
        <v>77</v>
      </c>
      <c r="B10" s="17">
        <f aca="true" t="shared" si="2" ref="B10:L10">B9</f>
        <v>0.009380863039399624</v>
      </c>
      <c r="C10" s="18">
        <f t="shared" si="2"/>
        <v>0</v>
      </c>
      <c r="D10" s="18">
        <f t="shared" si="2"/>
        <v>0</v>
      </c>
      <c r="E10" s="18">
        <f t="shared" si="2"/>
        <v>0</v>
      </c>
      <c r="F10" s="18">
        <f t="shared" si="2"/>
        <v>0</v>
      </c>
      <c r="G10" s="18">
        <f t="shared" si="2"/>
        <v>0.9380863039399624</v>
      </c>
      <c r="H10" s="18">
        <f t="shared" si="2"/>
        <v>0</v>
      </c>
      <c r="I10" s="18">
        <f t="shared" si="2"/>
        <v>0</v>
      </c>
      <c r="J10" s="18">
        <f t="shared" si="2"/>
        <v>0.037523452157598496</v>
      </c>
      <c r="K10" s="18">
        <f t="shared" si="2"/>
        <v>0</v>
      </c>
      <c r="L10" s="18">
        <f t="shared" si="2"/>
        <v>0.0037523452157598495</v>
      </c>
      <c r="M10" s="75"/>
    </row>
    <row r="11" spans="1:13" s="3" customFormat="1" ht="11.25">
      <c r="A11" s="16" t="s">
        <v>76</v>
      </c>
      <c r="B11" s="17">
        <f aca="true" t="shared" si="3" ref="B11:L11">IF(B4&gt;0,100%-B9,0)</f>
        <v>0.9906191369606003</v>
      </c>
      <c r="C11" s="18">
        <f t="shared" si="3"/>
        <v>0</v>
      </c>
      <c r="D11" s="18">
        <f t="shared" si="3"/>
        <v>0</v>
      </c>
      <c r="E11" s="18">
        <f t="shared" si="3"/>
        <v>0</v>
      </c>
      <c r="F11" s="18">
        <f t="shared" si="3"/>
        <v>0</v>
      </c>
      <c r="G11" s="18">
        <f t="shared" si="3"/>
        <v>0.061913696060037604</v>
      </c>
      <c r="H11" s="18">
        <f t="shared" si="3"/>
        <v>0</v>
      </c>
      <c r="I11" s="18">
        <f t="shared" si="3"/>
        <v>0</v>
      </c>
      <c r="J11" s="18">
        <f t="shared" si="3"/>
        <v>0.9624765478424016</v>
      </c>
      <c r="K11" s="18">
        <f t="shared" si="3"/>
        <v>0</v>
      </c>
      <c r="L11" s="18">
        <f t="shared" si="3"/>
        <v>0.9962476547842402</v>
      </c>
      <c r="M11" s="75"/>
    </row>
    <row r="12" spans="1:13" s="3" customFormat="1" ht="11.25">
      <c r="A12" s="16" t="s">
        <v>22</v>
      </c>
      <c r="B12" s="67">
        <f aca="true" t="shared" si="4" ref="B12:L12">+B6*B11</f>
        <v>1.4859287054409005</v>
      </c>
      <c r="C12" s="68">
        <f t="shared" si="4"/>
        <v>0</v>
      </c>
      <c r="D12" s="68">
        <f t="shared" si="4"/>
        <v>0</v>
      </c>
      <c r="E12" s="68">
        <f t="shared" si="4"/>
        <v>0</v>
      </c>
      <c r="F12" s="68">
        <f t="shared" si="4"/>
        <v>0</v>
      </c>
      <c r="G12" s="68">
        <f t="shared" si="4"/>
        <v>9.287054409005641</v>
      </c>
      <c r="H12" s="68">
        <f t="shared" si="4"/>
        <v>0</v>
      </c>
      <c r="I12" s="68">
        <f t="shared" si="4"/>
        <v>0</v>
      </c>
      <c r="J12" s="68">
        <f t="shared" si="4"/>
        <v>5.77485928705441</v>
      </c>
      <c r="K12" s="68">
        <f t="shared" si="4"/>
        <v>0</v>
      </c>
      <c r="L12" s="68">
        <f t="shared" si="4"/>
        <v>2.390994371482176</v>
      </c>
      <c r="M12" s="76">
        <f>SUM(B12:L12)</f>
        <v>18.938836772983127</v>
      </c>
    </row>
    <row r="13" spans="1:13" s="3" customFormat="1" ht="11.25">
      <c r="A13" s="8"/>
      <c r="B13" s="19">
        <f aca="true" t="shared" si="5" ref="B13:L13">IF(B14&gt;B4,"ERROR","")</f>
      </c>
      <c r="C13" s="20">
        <f t="shared" si="5"/>
      </c>
      <c r="D13" s="20">
        <f t="shared" si="5"/>
      </c>
      <c r="E13" s="20">
        <f t="shared" si="5"/>
      </c>
      <c r="F13" s="20">
        <f t="shared" si="5"/>
      </c>
      <c r="G13" s="20">
        <f t="shared" si="5"/>
      </c>
      <c r="H13" s="20">
        <f t="shared" si="5"/>
      </c>
      <c r="I13" s="20">
        <f t="shared" si="5"/>
      </c>
      <c r="J13" s="20">
        <f t="shared" si="5"/>
      </c>
      <c r="K13" s="20">
        <f t="shared" si="5"/>
      </c>
      <c r="L13" s="20">
        <f t="shared" si="5"/>
      </c>
      <c r="M13" s="75"/>
    </row>
    <row r="14" spans="1:13" s="3" customFormat="1" ht="11.25">
      <c r="A14" s="13" t="s">
        <v>70</v>
      </c>
      <c r="B14" s="12">
        <v>1</v>
      </c>
      <c r="C14" s="13">
        <v>0</v>
      </c>
      <c r="D14" s="13">
        <v>0</v>
      </c>
      <c r="E14" s="13">
        <v>0</v>
      </c>
      <c r="F14" s="13">
        <v>0</v>
      </c>
      <c r="G14" s="13">
        <v>0</v>
      </c>
      <c r="H14" s="13">
        <v>0</v>
      </c>
      <c r="I14" s="13">
        <v>0</v>
      </c>
      <c r="J14" s="13">
        <v>1</v>
      </c>
      <c r="K14" s="13">
        <v>0</v>
      </c>
      <c r="L14" s="13">
        <v>3</v>
      </c>
      <c r="M14" s="75"/>
    </row>
    <row r="15" spans="1:13" s="3" customFormat="1" ht="11.25">
      <c r="A15" s="8" t="s">
        <v>71</v>
      </c>
      <c r="B15" s="21">
        <f aca="true" t="shared" si="6" ref="B15:L15">IF(ISERR(B14/B4),0,B14/B4)</f>
        <v>1</v>
      </c>
      <c r="C15" s="22">
        <f t="shared" si="6"/>
        <v>0</v>
      </c>
      <c r="D15" s="22">
        <f t="shared" si="6"/>
        <v>0</v>
      </c>
      <c r="E15" s="22">
        <f t="shared" si="6"/>
        <v>0</v>
      </c>
      <c r="F15" s="22">
        <f t="shared" si="6"/>
        <v>0</v>
      </c>
      <c r="G15" s="22">
        <f t="shared" si="6"/>
        <v>0</v>
      </c>
      <c r="H15" s="22">
        <f t="shared" si="6"/>
        <v>0</v>
      </c>
      <c r="I15" s="22">
        <f t="shared" si="6"/>
        <v>0</v>
      </c>
      <c r="J15" s="22">
        <f t="shared" si="6"/>
        <v>1</v>
      </c>
      <c r="K15" s="22">
        <f t="shared" si="6"/>
        <v>0</v>
      </c>
      <c r="L15" s="22">
        <f t="shared" si="6"/>
        <v>0.75</v>
      </c>
      <c r="M15" s="75"/>
    </row>
    <row r="16" spans="1:13" s="3" customFormat="1" ht="11.25">
      <c r="A16" s="8" t="s">
        <v>87</v>
      </c>
      <c r="B16" s="23">
        <f aca="true" t="shared" si="7" ref="B16:L16">B15*B6*B11</f>
        <v>1.4859287054409005</v>
      </c>
      <c r="C16" s="24">
        <f t="shared" si="7"/>
        <v>0</v>
      </c>
      <c r="D16" s="24">
        <f t="shared" si="7"/>
        <v>0</v>
      </c>
      <c r="E16" s="24">
        <f t="shared" si="7"/>
        <v>0</v>
      </c>
      <c r="F16" s="24">
        <f t="shared" si="7"/>
        <v>0</v>
      </c>
      <c r="G16" s="24">
        <f t="shared" si="7"/>
        <v>0</v>
      </c>
      <c r="H16" s="24">
        <f t="shared" si="7"/>
        <v>0</v>
      </c>
      <c r="I16" s="24">
        <f t="shared" si="7"/>
        <v>0</v>
      </c>
      <c r="J16" s="24">
        <f t="shared" si="7"/>
        <v>5.77485928705441</v>
      </c>
      <c r="K16" s="24">
        <f t="shared" si="7"/>
        <v>0</v>
      </c>
      <c r="L16" s="24">
        <f t="shared" si="7"/>
        <v>1.793245778611632</v>
      </c>
      <c r="M16" s="76">
        <f>SUM(B16:L16)</f>
        <v>9.054033771106942</v>
      </c>
    </row>
    <row r="17" spans="1:13" s="3" customFormat="1" ht="11.25">
      <c r="A17" s="8"/>
      <c r="B17" s="25"/>
      <c r="C17" s="26"/>
      <c r="D17" s="26"/>
      <c r="E17" s="26"/>
      <c r="F17" s="26"/>
      <c r="G17" s="26"/>
      <c r="H17" s="26"/>
      <c r="I17" s="26"/>
      <c r="J17" s="26"/>
      <c r="K17" s="26"/>
      <c r="L17" s="26"/>
      <c r="M17" s="76"/>
    </row>
    <row r="18" spans="1:13" s="3" customFormat="1" ht="11.25">
      <c r="A18" s="66" t="s">
        <v>78</v>
      </c>
      <c r="B18" s="25"/>
      <c r="C18" s="26"/>
      <c r="D18" s="27"/>
      <c r="E18" s="27"/>
      <c r="F18" s="27"/>
      <c r="G18" s="27"/>
      <c r="H18" s="27"/>
      <c r="I18" s="27"/>
      <c r="J18" s="27"/>
      <c r="K18" s="27"/>
      <c r="L18" s="27"/>
      <c r="M18" s="76"/>
    </row>
    <row r="19" spans="1:13" s="3" customFormat="1" ht="11.25">
      <c r="A19" s="16" t="s">
        <v>72</v>
      </c>
      <c r="B19" s="25">
        <f>IF(B14&gt;0,B11*$B$54,0)</f>
        <v>0.4735823655833395</v>
      </c>
      <c r="C19" s="18">
        <f aca="true" t="shared" si="8" ref="C19:L19">IF(C14&gt;0,C11*$B$54,0)</f>
        <v>0</v>
      </c>
      <c r="D19" s="18">
        <f t="shared" si="8"/>
        <v>0</v>
      </c>
      <c r="E19" s="18">
        <f t="shared" si="8"/>
        <v>0</v>
      </c>
      <c r="F19" s="18">
        <f t="shared" si="8"/>
        <v>0</v>
      </c>
      <c r="G19" s="18">
        <f t="shared" si="8"/>
        <v>0</v>
      </c>
      <c r="H19" s="18">
        <f t="shared" si="8"/>
        <v>0</v>
      </c>
      <c r="I19" s="18">
        <f t="shared" si="8"/>
        <v>0</v>
      </c>
      <c r="J19" s="18">
        <f t="shared" si="8"/>
        <v>0.4601283211065401</v>
      </c>
      <c r="K19" s="18">
        <f t="shared" si="8"/>
        <v>0</v>
      </c>
      <c r="L19" s="18">
        <f t="shared" si="8"/>
        <v>0.4762731744786994</v>
      </c>
      <c r="M19" s="76"/>
    </row>
    <row r="20" spans="1:13" s="3" customFormat="1" ht="11.25">
      <c r="A20" s="16" t="s">
        <v>10</v>
      </c>
      <c r="B20" s="28">
        <f aca="true" t="shared" si="9" ref="B20:L20">B19*B16</f>
        <v>0.7037096314108909</v>
      </c>
      <c r="C20" s="29">
        <f t="shared" si="9"/>
        <v>0</v>
      </c>
      <c r="D20" s="29">
        <f t="shared" si="9"/>
        <v>0</v>
      </c>
      <c r="E20" s="29">
        <f t="shared" si="9"/>
        <v>0</v>
      </c>
      <c r="F20" s="29">
        <f t="shared" si="9"/>
        <v>0</v>
      </c>
      <c r="G20" s="29">
        <f t="shared" si="9"/>
        <v>0</v>
      </c>
      <c r="H20" s="29">
        <f t="shared" si="9"/>
        <v>0</v>
      </c>
      <c r="I20" s="29">
        <f t="shared" si="9"/>
        <v>0</v>
      </c>
      <c r="J20" s="29">
        <f t="shared" si="9"/>
        <v>2.657176308378857</v>
      </c>
      <c r="K20" s="29">
        <f t="shared" si="9"/>
        <v>0</v>
      </c>
      <c r="L20" s="29">
        <f t="shared" si="9"/>
        <v>0.8540748595998889</v>
      </c>
      <c r="M20" s="76">
        <f>SUM(B20:L20)</f>
        <v>4.214960799389637</v>
      </c>
    </row>
    <row r="21" spans="1:13" s="3" customFormat="1" ht="11.25">
      <c r="A21" s="16" t="s">
        <v>80</v>
      </c>
      <c r="B21" s="25">
        <f aca="true" t="shared" si="10" ref="B21:L21">B10</f>
        <v>0.009380863039399624</v>
      </c>
      <c r="C21" s="27">
        <f t="shared" si="10"/>
        <v>0</v>
      </c>
      <c r="D21" s="27">
        <f t="shared" si="10"/>
        <v>0</v>
      </c>
      <c r="E21" s="27">
        <f t="shared" si="10"/>
        <v>0</v>
      </c>
      <c r="F21" s="27">
        <f t="shared" si="10"/>
        <v>0</v>
      </c>
      <c r="G21" s="27">
        <f t="shared" si="10"/>
        <v>0.9380863039399624</v>
      </c>
      <c r="H21" s="27">
        <f t="shared" si="10"/>
        <v>0</v>
      </c>
      <c r="I21" s="27">
        <f t="shared" si="10"/>
        <v>0</v>
      </c>
      <c r="J21" s="27">
        <f t="shared" si="10"/>
        <v>0.037523452157598496</v>
      </c>
      <c r="K21" s="27">
        <f t="shared" si="10"/>
        <v>0</v>
      </c>
      <c r="L21" s="27">
        <f t="shared" si="10"/>
        <v>0.0037523452157598495</v>
      </c>
      <c r="M21" s="76"/>
    </row>
    <row r="22" spans="1:13" s="3" customFormat="1" ht="11.25">
      <c r="A22" s="16" t="s">
        <v>11</v>
      </c>
      <c r="B22" s="28">
        <f aca="true" t="shared" si="11" ref="B22:L22">B21*B16</f>
        <v>0.013939293672053474</v>
      </c>
      <c r="C22" s="29">
        <f t="shared" si="11"/>
        <v>0</v>
      </c>
      <c r="D22" s="29">
        <f t="shared" si="11"/>
        <v>0</v>
      </c>
      <c r="E22" s="29">
        <f t="shared" si="11"/>
        <v>0</v>
      </c>
      <c r="F22" s="29">
        <f t="shared" si="11"/>
        <v>0</v>
      </c>
      <c r="G22" s="29">
        <f t="shared" si="11"/>
        <v>0</v>
      </c>
      <c r="H22" s="29">
        <f t="shared" si="11"/>
        <v>0</v>
      </c>
      <c r="I22" s="29">
        <f t="shared" si="11"/>
        <v>0</v>
      </c>
      <c r="J22" s="29">
        <f t="shared" si="11"/>
        <v>0.2166926561746495</v>
      </c>
      <c r="K22" s="29">
        <f t="shared" si="11"/>
        <v>0</v>
      </c>
      <c r="L22" s="29">
        <f t="shared" si="11"/>
        <v>0.006728877218054903</v>
      </c>
      <c r="M22" s="76">
        <f>SUM(B22:L22)</f>
        <v>0.2373608270647579</v>
      </c>
    </row>
    <row r="23" spans="1:13" s="3" customFormat="1" ht="11.25">
      <c r="A23" s="16" t="s">
        <v>81</v>
      </c>
      <c r="B23" s="25">
        <f aca="true" t="shared" si="12" ref="B23:L23">B19+B21</f>
        <v>0.4829632286227391</v>
      </c>
      <c r="C23" s="27">
        <f t="shared" si="12"/>
        <v>0</v>
      </c>
      <c r="D23" s="27">
        <f t="shared" si="12"/>
        <v>0</v>
      </c>
      <c r="E23" s="27">
        <f t="shared" si="12"/>
        <v>0</v>
      </c>
      <c r="F23" s="27">
        <f t="shared" si="12"/>
        <v>0</v>
      </c>
      <c r="G23" s="27">
        <f t="shared" si="12"/>
        <v>0.9380863039399624</v>
      </c>
      <c r="H23" s="27">
        <f t="shared" si="12"/>
        <v>0</v>
      </c>
      <c r="I23" s="27">
        <f t="shared" si="12"/>
        <v>0</v>
      </c>
      <c r="J23" s="27">
        <f t="shared" si="12"/>
        <v>0.4976517732641386</v>
      </c>
      <c r="K23" s="27">
        <f t="shared" si="12"/>
        <v>0</v>
      </c>
      <c r="L23" s="27">
        <f t="shared" si="12"/>
        <v>0.4800255196944592</v>
      </c>
      <c r="M23" s="76"/>
    </row>
    <row r="24" spans="1:13" s="3" customFormat="1" ht="11.25">
      <c r="A24" s="16" t="s">
        <v>12</v>
      </c>
      <c r="B24" s="28">
        <f aca="true" t="shared" si="13" ref="B24:L24">B20+B22</f>
        <v>0.7176489250829444</v>
      </c>
      <c r="C24" s="29">
        <f t="shared" si="13"/>
        <v>0</v>
      </c>
      <c r="D24" s="29">
        <f t="shared" si="13"/>
        <v>0</v>
      </c>
      <c r="E24" s="29">
        <f t="shared" si="13"/>
        <v>0</v>
      </c>
      <c r="F24" s="29">
        <f t="shared" si="13"/>
        <v>0</v>
      </c>
      <c r="G24" s="29">
        <f t="shared" si="13"/>
        <v>0</v>
      </c>
      <c r="H24" s="29">
        <f t="shared" si="13"/>
        <v>0</v>
      </c>
      <c r="I24" s="29">
        <f t="shared" si="13"/>
        <v>0</v>
      </c>
      <c r="J24" s="29">
        <f t="shared" si="13"/>
        <v>2.8738689645535063</v>
      </c>
      <c r="K24" s="29">
        <f t="shared" si="13"/>
        <v>0</v>
      </c>
      <c r="L24" s="29">
        <f t="shared" si="13"/>
        <v>0.8608037368179439</v>
      </c>
      <c r="M24" s="76">
        <f>SUM(B24:L24)</f>
        <v>4.4523216264543946</v>
      </c>
    </row>
    <row r="25" spans="1:13" s="3" customFormat="1" ht="11.25">
      <c r="A25" s="16" t="s">
        <v>86</v>
      </c>
      <c r="B25" s="25">
        <f aca="true" t="shared" si="14" ref="B25:L25">IF(B4&gt;0,100%-B23,B11)</f>
        <v>0.5170367713772609</v>
      </c>
      <c r="C25" s="27">
        <f t="shared" si="14"/>
        <v>0</v>
      </c>
      <c r="D25" s="27">
        <f t="shared" si="14"/>
        <v>0</v>
      </c>
      <c r="E25" s="27">
        <f t="shared" si="14"/>
        <v>0</v>
      </c>
      <c r="F25" s="27">
        <f t="shared" si="14"/>
        <v>0</v>
      </c>
      <c r="G25" s="27">
        <f t="shared" si="14"/>
        <v>0.061913696060037604</v>
      </c>
      <c r="H25" s="27">
        <f t="shared" si="14"/>
        <v>0</v>
      </c>
      <c r="I25" s="27">
        <f t="shared" si="14"/>
        <v>0</v>
      </c>
      <c r="J25" s="27">
        <f t="shared" si="14"/>
        <v>0.5023482267358614</v>
      </c>
      <c r="K25" s="27">
        <f t="shared" si="14"/>
        <v>0</v>
      </c>
      <c r="L25" s="27">
        <f t="shared" si="14"/>
        <v>0.5199744803055408</v>
      </c>
      <c r="M25" s="76"/>
    </row>
    <row r="26" spans="1:13" s="3" customFormat="1" ht="11.25">
      <c r="A26" s="16" t="s">
        <v>13</v>
      </c>
      <c r="B26" s="28">
        <f aca="true" t="shared" si="15" ref="B26:L26">B25*B16</f>
        <v>0.7682797803579561</v>
      </c>
      <c r="C26" s="29">
        <f t="shared" si="15"/>
        <v>0</v>
      </c>
      <c r="D26" s="29">
        <f t="shared" si="15"/>
        <v>0</v>
      </c>
      <c r="E26" s="29">
        <f t="shared" si="15"/>
        <v>0</v>
      </c>
      <c r="F26" s="29">
        <f t="shared" si="15"/>
        <v>0</v>
      </c>
      <c r="G26" s="29">
        <f t="shared" si="15"/>
        <v>0</v>
      </c>
      <c r="H26" s="29">
        <f t="shared" si="15"/>
        <v>0</v>
      </c>
      <c r="I26" s="29">
        <f t="shared" si="15"/>
        <v>0</v>
      </c>
      <c r="J26" s="29">
        <f t="shared" si="15"/>
        <v>2.900990322500904</v>
      </c>
      <c r="K26" s="29">
        <f t="shared" si="15"/>
        <v>0</v>
      </c>
      <c r="L26" s="29">
        <f t="shared" si="15"/>
        <v>0.9324420417936883</v>
      </c>
      <c r="M26" s="76">
        <f>SUM(B26:L26)</f>
        <v>4.601712144652549</v>
      </c>
    </row>
    <row r="27" spans="1:13" s="3" customFormat="1" ht="11.25">
      <c r="A27" s="16"/>
      <c r="B27" s="25"/>
      <c r="C27" s="26"/>
      <c r="D27" s="27"/>
      <c r="E27" s="27"/>
      <c r="F27" s="27"/>
      <c r="G27" s="27"/>
      <c r="H27" s="27"/>
      <c r="I27" s="27"/>
      <c r="J27" s="27"/>
      <c r="K27" s="27"/>
      <c r="L27" s="27"/>
      <c r="M27" s="75"/>
    </row>
    <row r="28" spans="1:13" s="3" customFormat="1" ht="11.25">
      <c r="A28" s="66" t="s">
        <v>82</v>
      </c>
      <c r="B28" s="25"/>
      <c r="C28" s="26"/>
      <c r="D28" s="27"/>
      <c r="E28" s="27"/>
      <c r="F28" s="27"/>
      <c r="G28" s="27"/>
      <c r="H28" s="27"/>
      <c r="I28" s="27"/>
      <c r="J28" s="27"/>
      <c r="K28" s="27"/>
      <c r="L28" s="27"/>
      <c r="M28" s="75"/>
    </row>
    <row r="29" spans="1:13" s="3" customFormat="1" ht="11.25">
      <c r="A29" s="16" t="s">
        <v>79</v>
      </c>
      <c r="B29" s="25">
        <f aca="true" t="shared" si="16" ref="B29:L29">B19*B9</f>
        <v>0.00444261130941219</v>
      </c>
      <c r="C29" s="26">
        <f t="shared" si="16"/>
        <v>0</v>
      </c>
      <c r="D29" s="26">
        <f t="shared" si="16"/>
        <v>0</v>
      </c>
      <c r="E29" s="26">
        <f t="shared" si="16"/>
        <v>0</v>
      </c>
      <c r="F29" s="26">
        <f t="shared" si="16"/>
        <v>0</v>
      </c>
      <c r="G29" s="26">
        <f t="shared" si="16"/>
        <v>0</v>
      </c>
      <c r="H29" s="26">
        <f t="shared" si="16"/>
        <v>0</v>
      </c>
      <c r="I29" s="26">
        <f t="shared" si="16"/>
        <v>0</v>
      </c>
      <c r="J29" s="26">
        <f t="shared" si="16"/>
        <v>0.017265603043397377</v>
      </c>
      <c r="K29" s="26">
        <f t="shared" si="16"/>
        <v>0</v>
      </c>
      <c r="L29" s="26">
        <f t="shared" si="16"/>
        <v>0.0017871413676499037</v>
      </c>
      <c r="M29" s="75"/>
    </row>
    <row r="30" spans="1:13" s="3" customFormat="1" ht="11.25">
      <c r="A30" s="16"/>
      <c r="B30" s="25"/>
      <c r="C30" s="26"/>
      <c r="D30" s="26"/>
      <c r="E30" s="26"/>
      <c r="F30" s="26"/>
      <c r="G30" s="26"/>
      <c r="H30" s="26"/>
      <c r="I30" s="26"/>
      <c r="J30" s="26"/>
      <c r="K30" s="26"/>
      <c r="L30" s="26"/>
      <c r="M30" s="75"/>
    </row>
    <row r="31" spans="1:13" s="3" customFormat="1" ht="11.25">
      <c r="A31" s="16" t="s">
        <v>84</v>
      </c>
      <c r="B31" s="28">
        <f>IF(B4*B14&gt;0,'ISP Models'!B$12*B11,0)</f>
        <v>1.4859287054409005</v>
      </c>
      <c r="C31" s="29">
        <f>IF(C4*C14&gt;0,'ISP Models'!C$12*C11,0)</f>
        <v>0</v>
      </c>
      <c r="D31" s="29">
        <f>IF(D4*D14&gt;0,'ISP Models'!D$12*D11,0)</f>
        <v>0</v>
      </c>
      <c r="E31" s="29">
        <f>IF(E4*E14&gt;0,'ISP Models'!E$12*E11,0)</f>
        <v>0</v>
      </c>
      <c r="F31" s="29">
        <f>IF(F4*F14&gt;0,'ISP Models'!F$12*F11,0)</f>
        <v>0</v>
      </c>
      <c r="G31" s="29">
        <f>IF(G4*G14&gt;0,'ISP Models'!G$12*G11,0)</f>
        <v>0</v>
      </c>
      <c r="H31" s="29">
        <f>IF(H4*H14&gt;0,'ISP Models'!H$12*H11,0)</f>
        <v>0</v>
      </c>
      <c r="I31" s="29">
        <f>IF(I4*I14&gt;0,'ISP Models'!I$12*I11,0)</f>
        <v>0</v>
      </c>
      <c r="J31" s="29">
        <f>IF(J4*J14&gt;0,'ISP Models'!J$12*J11,0)</f>
        <v>5.77485928705441</v>
      </c>
      <c r="K31" s="29">
        <f>IF(K4*K14&gt;0,'ISP Models'!K$12*K11,0)</f>
        <v>0</v>
      </c>
      <c r="L31" s="29">
        <f>IF(L4*L14&gt;0,'ISP Models'!L$12*L11,0)</f>
        <v>0.597748592870544</v>
      </c>
      <c r="M31" s="75"/>
    </row>
    <row r="32" spans="1:13" s="3" customFormat="1" ht="11.25">
      <c r="A32" s="16" t="s">
        <v>83</v>
      </c>
      <c r="B32" s="28">
        <f aca="true" t="shared" si="17" ref="B32:L32">B31-B24</f>
        <v>0.7682797803579561</v>
      </c>
      <c r="C32" s="29">
        <f t="shared" si="17"/>
        <v>0</v>
      </c>
      <c r="D32" s="29">
        <f t="shared" si="17"/>
        <v>0</v>
      </c>
      <c r="E32" s="29">
        <f t="shared" si="17"/>
        <v>0</v>
      </c>
      <c r="F32" s="29">
        <f t="shared" si="17"/>
        <v>0</v>
      </c>
      <c r="G32" s="29">
        <f t="shared" si="17"/>
        <v>0</v>
      </c>
      <c r="H32" s="29">
        <f t="shared" si="17"/>
        <v>0</v>
      </c>
      <c r="I32" s="29">
        <f t="shared" si="17"/>
        <v>0</v>
      </c>
      <c r="J32" s="29">
        <f t="shared" si="17"/>
        <v>2.9009903225009035</v>
      </c>
      <c r="K32" s="29">
        <f t="shared" si="17"/>
        <v>0</v>
      </c>
      <c r="L32" s="29">
        <f t="shared" si="17"/>
        <v>-0.2630551439473998</v>
      </c>
      <c r="M32" s="75"/>
    </row>
    <row r="33" spans="1:13" s="3" customFormat="1" ht="12" thickBot="1">
      <c r="A33" s="16"/>
      <c r="B33" s="30"/>
      <c r="C33" s="31"/>
      <c r="D33" s="31"/>
      <c r="E33" s="31"/>
      <c r="F33" s="31"/>
      <c r="G33" s="31"/>
      <c r="H33" s="31"/>
      <c r="I33" s="31"/>
      <c r="J33" s="31"/>
      <c r="K33" s="31"/>
      <c r="L33" s="31"/>
      <c r="M33" s="75"/>
    </row>
    <row r="34" spans="1:13" s="3" customFormat="1" ht="12" thickTop="1">
      <c r="A34" s="16" t="s">
        <v>16</v>
      </c>
      <c r="B34" s="23">
        <f aca="true" t="shared" si="18" ref="B34:L34">B31-B32</f>
        <v>0.7176489250829444</v>
      </c>
      <c r="C34" s="24">
        <f t="shared" si="18"/>
        <v>0</v>
      </c>
      <c r="D34" s="24">
        <f t="shared" si="18"/>
        <v>0</v>
      </c>
      <c r="E34" s="24">
        <f t="shared" si="18"/>
        <v>0</v>
      </c>
      <c r="F34" s="24">
        <f t="shared" si="18"/>
        <v>0</v>
      </c>
      <c r="G34" s="24">
        <f t="shared" si="18"/>
        <v>0</v>
      </c>
      <c r="H34" s="24">
        <f t="shared" si="18"/>
        <v>0</v>
      </c>
      <c r="I34" s="24">
        <f t="shared" si="18"/>
        <v>0</v>
      </c>
      <c r="J34" s="24">
        <f t="shared" si="18"/>
        <v>2.8738689645535063</v>
      </c>
      <c r="K34" s="24">
        <f t="shared" si="18"/>
        <v>0</v>
      </c>
      <c r="L34" s="24">
        <f t="shared" si="18"/>
        <v>0.8608037368179439</v>
      </c>
      <c r="M34" s="75"/>
    </row>
    <row r="35" spans="1:13" s="3" customFormat="1" ht="11.25">
      <c r="A35" s="16" t="s">
        <v>88</v>
      </c>
      <c r="B35" s="32">
        <f aca="true" t="shared" si="19" ref="B35:L35">B34/B2</f>
        <v>0.1435297850165889</v>
      </c>
      <c r="C35" s="33">
        <f t="shared" si="19"/>
        <v>0</v>
      </c>
      <c r="D35" s="33">
        <f t="shared" si="19"/>
        <v>0</v>
      </c>
      <c r="E35" s="33">
        <f t="shared" si="19"/>
        <v>0</v>
      </c>
      <c r="F35" s="33">
        <f t="shared" si="19"/>
        <v>0</v>
      </c>
      <c r="G35" s="33">
        <f t="shared" si="19"/>
        <v>0</v>
      </c>
      <c r="H35" s="33">
        <f t="shared" si="19"/>
        <v>0</v>
      </c>
      <c r="I35" s="33">
        <f t="shared" si="19"/>
        <v>0</v>
      </c>
      <c r="J35" s="33">
        <f t="shared" si="19"/>
        <v>0.14369344822767532</v>
      </c>
      <c r="K35" s="33">
        <f t="shared" si="19"/>
        <v>0</v>
      </c>
      <c r="L35" s="33">
        <f t="shared" si="19"/>
        <v>0.43040186840897193</v>
      </c>
      <c r="M35" s="75"/>
    </row>
    <row r="36" spans="1:13" s="3" customFormat="1" ht="11.25">
      <c r="A36" s="16" t="s">
        <v>0</v>
      </c>
      <c r="B36" s="34">
        <f>B34*'ISP Models'!B$6*12</f>
        <v>22390.646462587865</v>
      </c>
      <c r="C36" s="35">
        <f>C34*'ISP Models'!C$6*12</f>
        <v>0</v>
      </c>
      <c r="D36" s="35">
        <f>D34*'ISP Models'!D$6*12</f>
        <v>0</v>
      </c>
      <c r="E36" s="35">
        <f>E34*'ISP Models'!E$6*12</f>
        <v>0</v>
      </c>
      <c r="F36" s="35">
        <f>F34*'ISP Models'!F$6*12</f>
        <v>0</v>
      </c>
      <c r="G36" s="35">
        <f>G34*'ISP Models'!G$6*12</f>
        <v>0</v>
      </c>
      <c r="H36" s="35">
        <f>H34*'ISP Models'!H$6*12</f>
        <v>0</v>
      </c>
      <c r="I36" s="35">
        <f>I34*'ISP Models'!I$6*12</f>
        <v>0</v>
      </c>
      <c r="J36" s="35">
        <f>J34*'ISP Models'!J$6*12</f>
        <v>89664.7116940694</v>
      </c>
      <c r="K36" s="35">
        <f>K34*'ISP Models'!K$6*12</f>
        <v>0</v>
      </c>
      <c r="L36" s="35">
        <f>L34*'ISP Models'!L$6*12</f>
        <v>26857.07658871985</v>
      </c>
      <c r="M36" s="75"/>
    </row>
    <row r="37" spans="1:13" s="3" customFormat="1" ht="11.25">
      <c r="A37" s="16"/>
      <c r="B37" s="34"/>
      <c r="C37" s="35"/>
      <c r="D37" s="35"/>
      <c r="E37" s="35"/>
      <c r="F37" s="35"/>
      <c r="G37" s="35"/>
      <c r="H37" s="35"/>
      <c r="I37" s="35"/>
      <c r="J37" s="35"/>
      <c r="K37" s="35"/>
      <c r="L37" s="35"/>
      <c r="M37" s="75"/>
    </row>
    <row r="38" spans="1:13" s="3" customFormat="1" ht="11.25">
      <c r="A38" s="16" t="s">
        <v>18</v>
      </c>
      <c r="B38" s="36">
        <f>ROUNDUP(B34/'ISP Models'!$B$25,0)</f>
        <v>12</v>
      </c>
      <c r="C38" s="37">
        <f>ROUNDUP(C34/'ISP Models'!$B$25,0)</f>
        <v>0</v>
      </c>
      <c r="D38" s="38">
        <f>ROUNDUP(D34/'ISP Models'!$B$25,0)</f>
        <v>0</v>
      </c>
      <c r="E38" s="38">
        <f>ROUNDUP(E34/'ISP Models'!$B$25,0)</f>
        <v>0</v>
      </c>
      <c r="F38" s="38">
        <f>ROUNDUP(F34/'ISP Models'!$B$25,0)</f>
        <v>0</v>
      </c>
      <c r="G38" s="38">
        <f>ROUNDUP(G34/'ISP Models'!$B$25,0)</f>
        <v>0</v>
      </c>
      <c r="H38" s="38">
        <f>ROUNDUP(H34/'ISP Models'!$B$25,0)</f>
        <v>0</v>
      </c>
      <c r="I38" s="38">
        <f>ROUNDUP(I34/'ISP Models'!$B$25,0)</f>
        <v>0</v>
      </c>
      <c r="J38" s="38">
        <f>ROUNDUP(J34/'ISP Models'!$B$25,0)</f>
        <v>45</v>
      </c>
      <c r="K38" s="38">
        <f>ROUNDUP(K34/'ISP Models'!$B$25,0)</f>
        <v>0</v>
      </c>
      <c r="L38" s="38">
        <f>ROUNDUP(L34/'ISP Models'!$B$25,0)</f>
        <v>14</v>
      </c>
      <c r="M38" s="75"/>
    </row>
    <row r="39" spans="1:13" s="3" customFormat="1" ht="11.25">
      <c r="A39" s="16" t="s">
        <v>19</v>
      </c>
      <c r="B39" s="39">
        <f>B38*'ISP Models'!$B$25</f>
        <v>0.768</v>
      </c>
      <c r="C39" s="40">
        <f>C38*'ISP Models'!$B$25</f>
        <v>0</v>
      </c>
      <c r="D39" s="41">
        <f>D38*'ISP Models'!$B$25</f>
        <v>0</v>
      </c>
      <c r="E39" s="41">
        <f>E38*'ISP Models'!$B$25</f>
        <v>0</v>
      </c>
      <c r="F39" s="41">
        <f>F38*'ISP Models'!$B$25</f>
        <v>0</v>
      </c>
      <c r="G39" s="41">
        <f>G38*'ISP Models'!$B$25</f>
        <v>0</v>
      </c>
      <c r="H39" s="41">
        <f>H38*'ISP Models'!$B$25</f>
        <v>0</v>
      </c>
      <c r="I39" s="41">
        <f>I38*'ISP Models'!$B$25</f>
        <v>0</v>
      </c>
      <c r="J39" s="41">
        <f>J38*'ISP Models'!$B$25</f>
        <v>2.88</v>
      </c>
      <c r="K39" s="41">
        <f>K38*'ISP Models'!$B$25</f>
        <v>0</v>
      </c>
      <c r="L39" s="41">
        <f>L38*'ISP Models'!$B$25</f>
        <v>0.896</v>
      </c>
      <c r="M39" s="75"/>
    </row>
    <row r="40" spans="1:13" s="3" customFormat="1" ht="11.25">
      <c r="A40" s="16" t="s">
        <v>20</v>
      </c>
      <c r="B40" s="39">
        <f aca="true" t="shared" si="20" ref="B40:L40">B39-B34</f>
        <v>0.050351074917055594</v>
      </c>
      <c r="C40" s="40">
        <f t="shared" si="20"/>
        <v>0</v>
      </c>
      <c r="D40" s="41">
        <f t="shared" si="20"/>
        <v>0</v>
      </c>
      <c r="E40" s="41">
        <f t="shared" si="20"/>
        <v>0</v>
      </c>
      <c r="F40" s="41">
        <f t="shared" si="20"/>
        <v>0</v>
      </c>
      <c r="G40" s="41">
        <f t="shared" si="20"/>
        <v>0</v>
      </c>
      <c r="H40" s="41">
        <f t="shared" si="20"/>
        <v>0</v>
      </c>
      <c r="I40" s="41">
        <f t="shared" si="20"/>
        <v>0</v>
      </c>
      <c r="J40" s="41">
        <f t="shared" si="20"/>
        <v>0.006131035446493627</v>
      </c>
      <c r="K40" s="41">
        <f t="shared" si="20"/>
        <v>0</v>
      </c>
      <c r="L40" s="41">
        <f t="shared" si="20"/>
        <v>0.03519626318205615</v>
      </c>
      <c r="M40" s="75"/>
    </row>
    <row r="41" spans="1:13" s="3" customFormat="1" ht="11.25">
      <c r="A41" s="16" t="s">
        <v>1</v>
      </c>
      <c r="B41" s="34">
        <f>B39*'ISP Models'!B$15*12</f>
        <v>9216</v>
      </c>
      <c r="C41" s="42">
        <f>C39*'ISP Models'!C$15*12</f>
        <v>0</v>
      </c>
      <c r="D41" s="43">
        <f>D39*'ISP Models'!D$15*12</f>
        <v>0</v>
      </c>
      <c r="E41" s="43">
        <f>E39*'ISP Models'!E$15*12</f>
        <v>0</v>
      </c>
      <c r="F41" s="43">
        <f>F39*'ISP Models'!F$15*12</f>
        <v>0</v>
      </c>
      <c r="G41" s="43">
        <f>G39*'ISP Models'!G$15*12</f>
        <v>0</v>
      </c>
      <c r="H41" s="43">
        <f>H39*'ISP Models'!H$15*12</f>
        <v>0</v>
      </c>
      <c r="I41" s="43">
        <f>I39*'ISP Models'!I$15*12</f>
        <v>0</v>
      </c>
      <c r="J41" s="43">
        <f>J39*'ISP Models'!J$15*12</f>
        <v>34560</v>
      </c>
      <c r="K41" s="43">
        <f>K39*'ISP Models'!K$15*12</f>
        <v>0</v>
      </c>
      <c r="L41" s="43">
        <f>L39*'ISP Models'!L$15*12</f>
        <v>10752</v>
      </c>
      <c r="M41" s="75"/>
    </row>
    <row r="42" spans="1:13" s="3" customFormat="1" ht="11.25">
      <c r="A42" s="16" t="s">
        <v>2</v>
      </c>
      <c r="B42" s="34">
        <f>IF(B14&gt;0,'ISP Models'!$B$26,0)</f>
        <v>1000</v>
      </c>
      <c r="C42" s="42">
        <f>IF(C14&gt;0,'ISP Models'!$B$26,0)</f>
        <v>0</v>
      </c>
      <c r="D42" s="43">
        <f>IF(D14&gt;0,'ISP Models'!$B$26,0)</f>
        <v>0</v>
      </c>
      <c r="E42" s="43">
        <f>IF(E14&gt;0,'ISP Models'!$B$26,0)</f>
        <v>0</v>
      </c>
      <c r="F42" s="43">
        <f>IF(F14&gt;0,'ISP Models'!$B$26,0)</f>
        <v>0</v>
      </c>
      <c r="G42" s="43">
        <f>IF(G14&gt;0,'ISP Models'!$B$26,0)</f>
        <v>0</v>
      </c>
      <c r="H42" s="43">
        <f>IF(H14&gt;0,'ISP Models'!$B$26,0)</f>
        <v>0</v>
      </c>
      <c r="I42" s="43">
        <f>IF(I14&gt;0,'ISP Models'!$B$26,0)</f>
        <v>0</v>
      </c>
      <c r="J42" s="43">
        <f>IF(J14&gt;0,'ISP Models'!$B$26,0)</f>
        <v>1000</v>
      </c>
      <c r="K42" s="43">
        <f>IF(K14&gt;0,'ISP Models'!$B$26,0)</f>
        <v>0</v>
      </c>
      <c r="L42" s="43">
        <f>IF(L14&gt;0,'ISP Models'!$B$26,0)</f>
        <v>1000</v>
      </c>
      <c r="M42" s="75"/>
    </row>
    <row r="43" spans="1:13" s="3" customFormat="1" ht="12" thickBot="1">
      <c r="A43" s="16"/>
      <c r="B43" s="44"/>
      <c r="C43" s="45"/>
      <c r="D43" s="45"/>
      <c r="E43" s="45"/>
      <c r="F43" s="45"/>
      <c r="G43" s="45"/>
      <c r="H43" s="45"/>
      <c r="I43" s="45"/>
      <c r="J43" s="45"/>
      <c r="K43" s="45"/>
      <c r="L43" s="46"/>
      <c r="M43" s="75"/>
    </row>
    <row r="44" spans="1:13" s="3" customFormat="1" ht="12" thickTop="1">
      <c r="A44" s="16" t="s">
        <v>9</v>
      </c>
      <c r="B44" s="34">
        <f aca="true" t="shared" si="21" ref="B44:L44">B36-(B41+B42)</f>
        <v>12174.646462587865</v>
      </c>
      <c r="C44" s="43">
        <f t="shared" si="21"/>
        <v>0</v>
      </c>
      <c r="D44" s="43">
        <f t="shared" si="21"/>
        <v>0</v>
      </c>
      <c r="E44" s="43">
        <f t="shared" si="21"/>
        <v>0</v>
      </c>
      <c r="F44" s="43">
        <f t="shared" si="21"/>
        <v>0</v>
      </c>
      <c r="G44" s="43">
        <f t="shared" si="21"/>
        <v>0</v>
      </c>
      <c r="H44" s="43">
        <f t="shared" si="21"/>
        <v>0</v>
      </c>
      <c r="I44" s="43">
        <f t="shared" si="21"/>
        <v>0</v>
      </c>
      <c r="J44" s="43">
        <f t="shared" si="21"/>
        <v>54104.711694069396</v>
      </c>
      <c r="K44" s="43">
        <f t="shared" si="21"/>
        <v>0</v>
      </c>
      <c r="L44" s="43">
        <f t="shared" si="21"/>
        <v>15105.07658871985</v>
      </c>
      <c r="M44" s="75"/>
    </row>
    <row r="45" spans="1:13" s="3" customFormat="1" ht="11.25">
      <c r="A45" s="16"/>
      <c r="B45" s="25"/>
      <c r="C45" s="26"/>
      <c r="D45" s="26"/>
      <c r="E45" s="26"/>
      <c r="F45" s="26"/>
      <c r="G45" s="26"/>
      <c r="H45" s="26"/>
      <c r="I45" s="26"/>
      <c r="J45" s="26"/>
      <c r="K45" s="26"/>
      <c r="L45" s="26"/>
      <c r="M45" s="75"/>
    </row>
    <row r="46" spans="1:13" s="3" customFormat="1" ht="11.25">
      <c r="A46" s="16" t="s">
        <v>17</v>
      </c>
      <c r="B46" s="28">
        <f aca="true" t="shared" si="22" ref="B46:L46">B34*B$14</f>
        <v>0.7176489250829444</v>
      </c>
      <c r="C46" s="29">
        <f t="shared" si="22"/>
        <v>0</v>
      </c>
      <c r="D46" s="29">
        <f t="shared" si="22"/>
        <v>0</v>
      </c>
      <c r="E46" s="29">
        <f t="shared" si="22"/>
        <v>0</v>
      </c>
      <c r="F46" s="29">
        <f t="shared" si="22"/>
        <v>0</v>
      </c>
      <c r="G46" s="29">
        <f t="shared" si="22"/>
        <v>0</v>
      </c>
      <c r="H46" s="29">
        <f t="shared" si="22"/>
        <v>0</v>
      </c>
      <c r="I46" s="29">
        <f t="shared" si="22"/>
        <v>0</v>
      </c>
      <c r="J46" s="29">
        <f t="shared" si="22"/>
        <v>2.8738689645535063</v>
      </c>
      <c r="K46" s="29">
        <f t="shared" si="22"/>
        <v>0</v>
      </c>
      <c r="L46" s="29">
        <f t="shared" si="22"/>
        <v>2.5824112104538317</v>
      </c>
      <c r="M46" s="75"/>
    </row>
    <row r="47" spans="1:13" s="3" customFormat="1" ht="11.25">
      <c r="A47" s="16" t="s">
        <v>89</v>
      </c>
      <c r="B47" s="34">
        <f aca="true" t="shared" si="23" ref="B47:L47">B36*B$14</f>
        <v>22390.646462587865</v>
      </c>
      <c r="C47" s="43">
        <f t="shared" si="23"/>
        <v>0</v>
      </c>
      <c r="D47" s="43">
        <f t="shared" si="23"/>
        <v>0</v>
      </c>
      <c r="E47" s="43">
        <f t="shared" si="23"/>
        <v>0</v>
      </c>
      <c r="F47" s="43">
        <f t="shared" si="23"/>
        <v>0</v>
      </c>
      <c r="G47" s="43">
        <f t="shared" si="23"/>
        <v>0</v>
      </c>
      <c r="H47" s="43">
        <f t="shared" si="23"/>
        <v>0</v>
      </c>
      <c r="I47" s="43">
        <f t="shared" si="23"/>
        <v>0</v>
      </c>
      <c r="J47" s="43">
        <f t="shared" si="23"/>
        <v>89664.7116940694</v>
      </c>
      <c r="K47" s="43">
        <f t="shared" si="23"/>
        <v>0</v>
      </c>
      <c r="L47" s="43">
        <f t="shared" si="23"/>
        <v>80571.22976615955</v>
      </c>
      <c r="M47" s="75"/>
    </row>
    <row r="48" spans="1:13" s="3" customFormat="1" ht="11.25">
      <c r="A48" s="16" t="s">
        <v>14</v>
      </c>
      <c r="B48" s="34">
        <f aca="true" t="shared" si="24" ref="B48:L48">B41*B14</f>
        <v>9216</v>
      </c>
      <c r="C48" s="35">
        <f t="shared" si="24"/>
        <v>0</v>
      </c>
      <c r="D48" s="35">
        <f t="shared" si="24"/>
        <v>0</v>
      </c>
      <c r="E48" s="35">
        <f t="shared" si="24"/>
        <v>0</v>
      </c>
      <c r="F48" s="35">
        <f t="shared" si="24"/>
        <v>0</v>
      </c>
      <c r="G48" s="35">
        <f t="shared" si="24"/>
        <v>0</v>
      </c>
      <c r="H48" s="35">
        <f t="shared" si="24"/>
        <v>0</v>
      </c>
      <c r="I48" s="35">
        <f t="shared" si="24"/>
        <v>0</v>
      </c>
      <c r="J48" s="35">
        <f t="shared" si="24"/>
        <v>34560</v>
      </c>
      <c r="K48" s="35">
        <f t="shared" si="24"/>
        <v>0</v>
      </c>
      <c r="L48" s="35">
        <f t="shared" si="24"/>
        <v>32256</v>
      </c>
      <c r="M48" s="75"/>
    </row>
    <row r="49" spans="1:13" s="3" customFormat="1" ht="11.25">
      <c r="A49" s="16" t="s">
        <v>15</v>
      </c>
      <c r="B49" s="34">
        <f aca="true" t="shared" si="25" ref="B49:L49">B42*B14</f>
        <v>1000</v>
      </c>
      <c r="C49" s="35">
        <f t="shared" si="25"/>
        <v>0</v>
      </c>
      <c r="D49" s="35">
        <f t="shared" si="25"/>
        <v>0</v>
      </c>
      <c r="E49" s="35">
        <f t="shared" si="25"/>
        <v>0</v>
      </c>
      <c r="F49" s="35">
        <f t="shared" si="25"/>
        <v>0</v>
      </c>
      <c r="G49" s="35">
        <f t="shared" si="25"/>
        <v>0</v>
      </c>
      <c r="H49" s="35">
        <f t="shared" si="25"/>
        <v>0</v>
      </c>
      <c r="I49" s="35">
        <f t="shared" si="25"/>
        <v>0</v>
      </c>
      <c r="J49" s="35">
        <f t="shared" si="25"/>
        <v>1000</v>
      </c>
      <c r="K49" s="35">
        <f t="shared" si="25"/>
        <v>0</v>
      </c>
      <c r="L49" s="35">
        <f t="shared" si="25"/>
        <v>3000</v>
      </c>
      <c r="M49" s="75"/>
    </row>
    <row r="50" spans="1:13" s="3" customFormat="1" ht="12" thickBot="1">
      <c r="A50" s="16"/>
      <c r="B50" s="44"/>
      <c r="C50" s="45"/>
      <c r="D50" s="45"/>
      <c r="E50" s="45"/>
      <c r="F50" s="45"/>
      <c r="G50" s="45"/>
      <c r="H50" s="45"/>
      <c r="I50" s="45"/>
      <c r="J50" s="45"/>
      <c r="K50" s="45"/>
      <c r="L50" s="45"/>
      <c r="M50" s="75"/>
    </row>
    <row r="51" spans="1:13" s="3" customFormat="1" ht="12.75" thickBot="1" thickTop="1">
      <c r="A51" s="83" t="s">
        <v>9</v>
      </c>
      <c r="B51" s="79">
        <f aca="true" t="shared" si="26" ref="B51:L51">B47-(B48+B49)</f>
        <v>12174.646462587865</v>
      </c>
      <c r="C51" s="80">
        <f t="shared" si="26"/>
        <v>0</v>
      </c>
      <c r="D51" s="81">
        <f t="shared" si="26"/>
        <v>0</v>
      </c>
      <c r="E51" s="81">
        <f t="shared" si="26"/>
        <v>0</v>
      </c>
      <c r="F51" s="81">
        <f t="shared" si="26"/>
        <v>0</v>
      </c>
      <c r="G51" s="81">
        <f t="shared" si="26"/>
        <v>0</v>
      </c>
      <c r="H51" s="81">
        <f t="shared" si="26"/>
        <v>0</v>
      </c>
      <c r="I51" s="81">
        <f t="shared" si="26"/>
        <v>0</v>
      </c>
      <c r="J51" s="81">
        <f t="shared" si="26"/>
        <v>54104.711694069396</v>
      </c>
      <c r="K51" s="81">
        <f t="shared" si="26"/>
        <v>0</v>
      </c>
      <c r="L51" s="82">
        <f t="shared" si="26"/>
        <v>45315.22976615955</v>
      </c>
      <c r="M51" s="11"/>
    </row>
    <row r="52" s="3" customFormat="1" ht="11.25">
      <c r="M52" s="11"/>
    </row>
    <row r="53" spans="1:2" s="3" customFormat="1" ht="11.25">
      <c r="A53" s="3" t="s">
        <v>73</v>
      </c>
      <c r="B53" s="48">
        <f>SUM(B16:L16)/SUM(B6:L6)</f>
        <v>0.05662310050723541</v>
      </c>
    </row>
    <row r="54" spans="1:2" s="3" customFormat="1" ht="11.25">
      <c r="A54" s="3" t="s">
        <v>21</v>
      </c>
      <c r="B54" s="48">
        <f>+SUM(B16:L16)/SUM(B12:L12)</f>
        <v>0.478067047075606</v>
      </c>
    </row>
    <row r="55" s="3" customFormat="1" ht="12" thickBot="1"/>
    <row r="56" spans="1:2" s="3" customFormat="1" ht="12" thickBot="1">
      <c r="A56" s="84" t="s">
        <v>90</v>
      </c>
      <c r="B56" s="85">
        <f>SUM(B47:L47)</f>
        <v>192626.5879228168</v>
      </c>
    </row>
    <row r="57" s="3" customFormat="1" ht="11.25"/>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M56"/>
  <sheetViews>
    <sheetView workbookViewId="0" topLeftCell="A35">
      <selection activeCell="A62" sqref="A62"/>
    </sheetView>
  </sheetViews>
  <sheetFormatPr defaultColWidth="9.140625" defaultRowHeight="12.75"/>
  <cols>
    <col min="1" max="1" width="47.00390625" style="0" customWidth="1"/>
    <col min="2" max="2" width="8.7109375" style="0" customWidth="1"/>
    <col min="3" max="4" width="7.7109375" style="0" customWidth="1"/>
    <col min="5" max="6" width="7.28125" style="0" customWidth="1"/>
    <col min="7" max="7" width="8.28125" style="0" customWidth="1"/>
    <col min="8" max="9" width="7.28125" style="0" customWidth="1"/>
    <col min="10" max="10" width="8.7109375" style="0" customWidth="1"/>
    <col min="11" max="11" width="7.28125" style="0" customWidth="1"/>
    <col min="12" max="13" width="8.7109375" style="0" customWidth="1"/>
    <col min="14" max="16384" width="8.8515625" style="0" customWidth="1"/>
  </cols>
  <sheetData>
    <row r="1" spans="1:13" s="3" customFormat="1" ht="12" thickBot="1">
      <c r="A1" s="2" t="s">
        <v>91</v>
      </c>
      <c r="B1" s="69" t="s">
        <v>68</v>
      </c>
      <c r="C1" s="70" t="s">
        <v>60</v>
      </c>
      <c r="D1" s="70" t="s">
        <v>61</v>
      </c>
      <c r="E1" s="70" t="s">
        <v>62</v>
      </c>
      <c r="F1" s="71" t="s">
        <v>27</v>
      </c>
      <c r="G1" s="71" t="s">
        <v>28</v>
      </c>
      <c r="H1" s="71" t="s">
        <v>29</v>
      </c>
      <c r="I1" s="72" t="s">
        <v>30</v>
      </c>
      <c r="J1" s="72" t="s">
        <v>31</v>
      </c>
      <c r="K1" s="72" t="s">
        <v>32</v>
      </c>
      <c r="L1" s="72" t="s">
        <v>33</v>
      </c>
      <c r="M1" s="73" t="s">
        <v>69</v>
      </c>
    </row>
    <row r="2" spans="1:13" s="3" customFormat="1" ht="11.25">
      <c r="A2" s="8" t="s">
        <v>67</v>
      </c>
      <c r="B2" s="9">
        <f>'ISP Models'!$B$5</f>
        <v>5</v>
      </c>
      <c r="C2" s="10">
        <f>'ISP Models'!$C$5</f>
        <v>50000</v>
      </c>
      <c r="D2" s="10">
        <f>'ISP Models'!$D$5</f>
        <v>10000</v>
      </c>
      <c r="E2" s="10">
        <f>'ISP Models'!$E$5</f>
        <v>2500</v>
      </c>
      <c r="F2" s="10">
        <f>'ISP Models'!$F$5</f>
        <v>1000</v>
      </c>
      <c r="G2" s="10">
        <f>'ISP Models'!$G$5</f>
        <v>500</v>
      </c>
      <c r="H2" s="10">
        <f>'ISP Models'!$H$5</f>
        <v>250</v>
      </c>
      <c r="I2" s="10">
        <f>'ISP Models'!$I$5</f>
        <v>100</v>
      </c>
      <c r="J2" s="10">
        <f>'ISP Models'!$J$5</f>
        <v>20</v>
      </c>
      <c r="K2" s="10">
        <f>'ISP Models'!$K$5</f>
        <v>5</v>
      </c>
      <c r="L2" s="10">
        <f>'ISP Models'!$L$5</f>
        <v>2</v>
      </c>
      <c r="M2" s="74"/>
    </row>
    <row r="3" spans="1:13" s="3" customFormat="1" ht="11.25">
      <c r="A3" s="8"/>
      <c r="B3" s="9"/>
      <c r="M3" s="75"/>
    </row>
    <row r="4" spans="1:13" s="3" customFormat="1" ht="11.25">
      <c r="A4" s="78" t="s">
        <v>65</v>
      </c>
      <c r="B4" s="12">
        <v>1</v>
      </c>
      <c r="C4" s="13">
        <v>0</v>
      </c>
      <c r="D4" s="13">
        <v>0</v>
      </c>
      <c r="E4" s="13">
        <v>0</v>
      </c>
      <c r="F4" s="13">
        <v>1</v>
      </c>
      <c r="G4" s="13">
        <v>0</v>
      </c>
      <c r="H4" s="13">
        <v>0</v>
      </c>
      <c r="I4" s="13">
        <v>0</v>
      </c>
      <c r="J4" s="13">
        <v>2</v>
      </c>
      <c r="K4" s="13">
        <v>0</v>
      </c>
      <c r="L4" s="13">
        <v>3</v>
      </c>
      <c r="M4" s="75"/>
    </row>
    <row r="5" spans="1:13" s="3" customFormat="1" ht="11.25">
      <c r="A5" s="8" t="s">
        <v>23</v>
      </c>
      <c r="B5" s="67">
        <f>+B4*B2</f>
        <v>5</v>
      </c>
      <c r="C5" s="68">
        <f aca="true" t="shared" si="0" ref="C5:L5">+C4*C2</f>
        <v>0</v>
      </c>
      <c r="D5" s="68">
        <f t="shared" si="0"/>
        <v>0</v>
      </c>
      <c r="E5" s="68">
        <f t="shared" si="0"/>
        <v>0</v>
      </c>
      <c r="F5" s="68">
        <f t="shared" si="0"/>
        <v>1000</v>
      </c>
      <c r="G5" s="68">
        <f t="shared" si="0"/>
        <v>0</v>
      </c>
      <c r="H5" s="68">
        <f t="shared" si="0"/>
        <v>0</v>
      </c>
      <c r="I5" s="68">
        <f t="shared" si="0"/>
        <v>0</v>
      </c>
      <c r="J5" s="68">
        <f t="shared" si="0"/>
        <v>40</v>
      </c>
      <c r="K5" s="68">
        <f t="shared" si="0"/>
        <v>0</v>
      </c>
      <c r="L5" s="68">
        <f t="shared" si="0"/>
        <v>6</v>
      </c>
      <c r="M5" s="76">
        <f>SUM(B5:L5)</f>
        <v>1051</v>
      </c>
    </row>
    <row r="6" spans="1:13" s="3" customFormat="1" ht="11.25">
      <c r="A6" s="8" t="s">
        <v>85</v>
      </c>
      <c r="B6" s="67">
        <f>B4*B2*'ISP Models'!B$11</f>
        <v>1.5</v>
      </c>
      <c r="C6" s="68">
        <f>C4*C2*'ISP Models'!C$11</f>
        <v>0</v>
      </c>
      <c r="D6" s="68">
        <f>D4*D2*'ISP Models'!D$11</f>
        <v>0</v>
      </c>
      <c r="E6" s="68">
        <f>E4*E2*'ISP Models'!E$11</f>
        <v>0</v>
      </c>
      <c r="F6" s="68">
        <f>F4*F2*'ISP Models'!F$11</f>
        <v>300</v>
      </c>
      <c r="G6" s="68">
        <f>G4*G2*'ISP Models'!G$11</f>
        <v>0</v>
      </c>
      <c r="H6" s="68">
        <f>H4*H2*'ISP Models'!H$11</f>
        <v>0</v>
      </c>
      <c r="I6" s="68">
        <f>I4*I2*'ISP Models'!I$11</f>
        <v>0</v>
      </c>
      <c r="J6" s="68">
        <f>J4*J2*'ISP Models'!J$11</f>
        <v>12</v>
      </c>
      <c r="K6" s="68">
        <f>K4*K2*'ISP Models'!K$11</f>
        <v>0</v>
      </c>
      <c r="L6" s="68">
        <f>L4*L2*'ISP Models'!L$11</f>
        <v>1.7999999999999998</v>
      </c>
      <c r="M6" s="76">
        <f>SUM(B6:L6)</f>
        <v>315.3</v>
      </c>
    </row>
    <row r="7" spans="1:13" s="3" customFormat="1" ht="11.25">
      <c r="A7" s="8"/>
      <c r="B7" s="14"/>
      <c r="C7" s="15"/>
      <c r="D7" s="15"/>
      <c r="E7" s="15"/>
      <c r="F7" s="15"/>
      <c r="G7" s="15"/>
      <c r="H7" s="15"/>
      <c r="I7" s="15"/>
      <c r="J7" s="15"/>
      <c r="K7" s="15"/>
      <c r="L7" s="15"/>
      <c r="M7" s="77"/>
    </row>
    <row r="8" spans="1:13" s="3" customFormat="1" ht="11.25">
      <c r="A8" s="66" t="s">
        <v>74</v>
      </c>
      <c r="B8" s="14"/>
      <c r="C8" s="15"/>
      <c r="D8" s="15"/>
      <c r="E8" s="15"/>
      <c r="F8" s="15"/>
      <c r="G8" s="15"/>
      <c r="H8" s="15"/>
      <c r="I8" s="15"/>
      <c r="J8" s="15"/>
      <c r="K8" s="15"/>
      <c r="L8" s="15"/>
      <c r="M8" s="77"/>
    </row>
    <row r="9" spans="1:13" s="3" customFormat="1" ht="11.25">
      <c r="A9" s="16" t="s">
        <v>75</v>
      </c>
      <c r="B9" s="17">
        <f aca="true" t="shared" si="1" ref="B9:L9">IF(B4&gt;0,B6/SUM($B$6:$L$6)/B4,0)</f>
        <v>0.004757373929590866</v>
      </c>
      <c r="C9" s="18">
        <f t="shared" si="1"/>
        <v>0</v>
      </c>
      <c r="D9" s="18">
        <f t="shared" si="1"/>
        <v>0</v>
      </c>
      <c r="E9" s="18">
        <f t="shared" si="1"/>
        <v>0</v>
      </c>
      <c r="F9" s="18">
        <f t="shared" si="1"/>
        <v>0.9514747859181731</v>
      </c>
      <c r="G9" s="18">
        <f t="shared" si="1"/>
        <v>0</v>
      </c>
      <c r="H9" s="18">
        <f t="shared" si="1"/>
        <v>0</v>
      </c>
      <c r="I9" s="18">
        <f t="shared" si="1"/>
        <v>0</v>
      </c>
      <c r="J9" s="18">
        <f t="shared" si="1"/>
        <v>0.019029495718363463</v>
      </c>
      <c r="K9" s="18">
        <f t="shared" si="1"/>
        <v>0</v>
      </c>
      <c r="L9" s="18">
        <f t="shared" si="1"/>
        <v>0.001902949571836346</v>
      </c>
      <c r="M9" s="75"/>
    </row>
    <row r="10" spans="1:13" s="3" customFormat="1" ht="11.25">
      <c r="A10" s="16" t="s">
        <v>77</v>
      </c>
      <c r="B10" s="17">
        <f aca="true" t="shared" si="2" ref="B10:L10">B9</f>
        <v>0.004757373929590866</v>
      </c>
      <c r="C10" s="18">
        <f t="shared" si="2"/>
        <v>0</v>
      </c>
      <c r="D10" s="18">
        <f t="shared" si="2"/>
        <v>0</v>
      </c>
      <c r="E10" s="18">
        <f t="shared" si="2"/>
        <v>0</v>
      </c>
      <c r="F10" s="18">
        <f t="shared" si="2"/>
        <v>0.9514747859181731</v>
      </c>
      <c r="G10" s="18">
        <f t="shared" si="2"/>
        <v>0</v>
      </c>
      <c r="H10" s="18">
        <f t="shared" si="2"/>
        <v>0</v>
      </c>
      <c r="I10" s="18">
        <f t="shared" si="2"/>
        <v>0</v>
      </c>
      <c r="J10" s="18">
        <f t="shared" si="2"/>
        <v>0.019029495718363463</v>
      </c>
      <c r="K10" s="18">
        <f t="shared" si="2"/>
        <v>0</v>
      </c>
      <c r="L10" s="18">
        <f t="shared" si="2"/>
        <v>0.001902949571836346</v>
      </c>
      <c r="M10" s="75"/>
    </row>
    <row r="11" spans="1:13" s="3" customFormat="1" ht="11.25">
      <c r="A11" s="16" t="s">
        <v>76</v>
      </c>
      <c r="B11" s="17">
        <f aca="true" t="shared" si="3" ref="B11:L11">IF(B4&gt;0,100%-B9,0)</f>
        <v>0.9952426260704091</v>
      </c>
      <c r="C11" s="18">
        <f t="shared" si="3"/>
        <v>0</v>
      </c>
      <c r="D11" s="18">
        <f t="shared" si="3"/>
        <v>0</v>
      </c>
      <c r="E11" s="18">
        <f t="shared" si="3"/>
        <v>0</v>
      </c>
      <c r="F11" s="18">
        <f t="shared" si="3"/>
        <v>0.04852521408182686</v>
      </c>
      <c r="G11" s="18">
        <f t="shared" si="3"/>
        <v>0</v>
      </c>
      <c r="H11" s="18">
        <f t="shared" si="3"/>
        <v>0</v>
      </c>
      <c r="I11" s="18">
        <f t="shared" si="3"/>
        <v>0</v>
      </c>
      <c r="J11" s="18">
        <f t="shared" si="3"/>
        <v>0.9809705042816366</v>
      </c>
      <c r="K11" s="18">
        <f t="shared" si="3"/>
        <v>0</v>
      </c>
      <c r="L11" s="18">
        <f t="shared" si="3"/>
        <v>0.9980970504281637</v>
      </c>
      <c r="M11" s="75"/>
    </row>
    <row r="12" spans="1:13" s="3" customFormat="1" ht="11.25">
      <c r="A12" s="16" t="s">
        <v>22</v>
      </c>
      <c r="B12" s="67">
        <f aca="true" t="shared" si="4" ref="B12:L12">+B6*B11</f>
        <v>1.4928639391056138</v>
      </c>
      <c r="C12" s="68">
        <f t="shared" si="4"/>
        <v>0</v>
      </c>
      <c r="D12" s="68">
        <f t="shared" si="4"/>
        <v>0</v>
      </c>
      <c r="E12" s="68">
        <f t="shared" si="4"/>
        <v>0</v>
      </c>
      <c r="F12" s="68">
        <f t="shared" si="4"/>
        <v>14.55756422454806</v>
      </c>
      <c r="G12" s="68">
        <f t="shared" si="4"/>
        <v>0</v>
      </c>
      <c r="H12" s="68">
        <f t="shared" si="4"/>
        <v>0</v>
      </c>
      <c r="I12" s="68">
        <f t="shared" si="4"/>
        <v>0</v>
      </c>
      <c r="J12" s="68">
        <f t="shared" si="4"/>
        <v>11.771646051379639</v>
      </c>
      <c r="K12" s="68">
        <f t="shared" si="4"/>
        <v>0</v>
      </c>
      <c r="L12" s="68">
        <f t="shared" si="4"/>
        <v>1.7965746907706943</v>
      </c>
      <c r="M12" s="76">
        <f>SUM(B12:L12)</f>
        <v>29.618648905804005</v>
      </c>
    </row>
    <row r="13" spans="1:13" s="3" customFormat="1" ht="11.25">
      <c r="A13" s="8"/>
      <c r="B13" s="19">
        <f aca="true" t="shared" si="5" ref="B13:L13">IF(B14&gt;B4,"ERROR","")</f>
      </c>
      <c r="C13" s="20">
        <f t="shared" si="5"/>
      </c>
      <c r="D13" s="20">
        <f t="shared" si="5"/>
      </c>
      <c r="E13" s="20">
        <f t="shared" si="5"/>
      </c>
      <c r="F13" s="20">
        <f t="shared" si="5"/>
      </c>
      <c r="G13" s="20">
        <f t="shared" si="5"/>
      </c>
      <c r="H13" s="20">
        <f t="shared" si="5"/>
      </c>
      <c r="I13" s="20">
        <f t="shared" si="5"/>
      </c>
      <c r="J13" s="20">
        <f t="shared" si="5"/>
      </c>
      <c r="K13" s="20">
        <f t="shared" si="5"/>
      </c>
      <c r="L13" s="20">
        <f t="shared" si="5"/>
      </c>
      <c r="M13" s="75"/>
    </row>
    <row r="14" spans="1:13" s="3" customFormat="1" ht="11.25">
      <c r="A14" s="13" t="s">
        <v>70</v>
      </c>
      <c r="B14" s="12">
        <v>1</v>
      </c>
      <c r="C14" s="13">
        <v>0</v>
      </c>
      <c r="D14" s="13">
        <v>0</v>
      </c>
      <c r="E14" s="13">
        <v>0</v>
      </c>
      <c r="F14" s="13">
        <v>0</v>
      </c>
      <c r="G14" s="13">
        <v>0</v>
      </c>
      <c r="H14" s="13">
        <v>0</v>
      </c>
      <c r="I14" s="13">
        <v>0</v>
      </c>
      <c r="J14" s="13">
        <v>0</v>
      </c>
      <c r="K14" s="13">
        <v>0</v>
      </c>
      <c r="L14" s="13">
        <v>1</v>
      </c>
      <c r="M14" s="75"/>
    </row>
    <row r="15" spans="1:13" s="3" customFormat="1" ht="11.25">
      <c r="A15" s="8" t="s">
        <v>71</v>
      </c>
      <c r="B15" s="21">
        <f aca="true" t="shared" si="6" ref="B15:L15">IF(ISERR(B14/B4),0,B14/B4)</f>
        <v>1</v>
      </c>
      <c r="C15" s="22">
        <f t="shared" si="6"/>
        <v>0</v>
      </c>
      <c r="D15" s="22">
        <f t="shared" si="6"/>
        <v>0</v>
      </c>
      <c r="E15" s="22">
        <f t="shared" si="6"/>
        <v>0</v>
      </c>
      <c r="F15" s="22">
        <f t="shared" si="6"/>
        <v>0</v>
      </c>
      <c r="G15" s="22">
        <f t="shared" si="6"/>
        <v>0</v>
      </c>
      <c r="H15" s="22">
        <f t="shared" si="6"/>
        <v>0</v>
      </c>
      <c r="I15" s="22">
        <f t="shared" si="6"/>
        <v>0</v>
      </c>
      <c r="J15" s="22">
        <f t="shared" si="6"/>
        <v>0</v>
      </c>
      <c r="K15" s="22">
        <f t="shared" si="6"/>
        <v>0</v>
      </c>
      <c r="L15" s="22">
        <f t="shared" si="6"/>
        <v>0.3333333333333333</v>
      </c>
      <c r="M15" s="75"/>
    </row>
    <row r="16" spans="1:13" s="3" customFormat="1" ht="11.25">
      <c r="A16" s="8" t="s">
        <v>87</v>
      </c>
      <c r="B16" s="23">
        <f aca="true" t="shared" si="7" ref="B16:L16">B15*B6*B11</f>
        <v>1.4928639391056138</v>
      </c>
      <c r="C16" s="24">
        <f t="shared" si="7"/>
        <v>0</v>
      </c>
      <c r="D16" s="24">
        <f t="shared" si="7"/>
        <v>0</v>
      </c>
      <c r="E16" s="24">
        <f t="shared" si="7"/>
        <v>0</v>
      </c>
      <c r="F16" s="24">
        <f t="shared" si="7"/>
        <v>0</v>
      </c>
      <c r="G16" s="24">
        <f t="shared" si="7"/>
        <v>0</v>
      </c>
      <c r="H16" s="24">
        <f t="shared" si="7"/>
        <v>0</v>
      </c>
      <c r="I16" s="24">
        <f t="shared" si="7"/>
        <v>0</v>
      </c>
      <c r="J16" s="24">
        <f t="shared" si="7"/>
        <v>0</v>
      </c>
      <c r="K16" s="24">
        <f t="shared" si="7"/>
        <v>0</v>
      </c>
      <c r="L16" s="24">
        <f t="shared" si="7"/>
        <v>0.5988582302568981</v>
      </c>
      <c r="M16" s="76">
        <f>SUM(B16:L16)</f>
        <v>2.091722169362512</v>
      </c>
    </row>
    <row r="17" spans="1:13" s="3" customFormat="1" ht="11.25">
      <c r="A17" s="8"/>
      <c r="B17" s="25"/>
      <c r="C17" s="26"/>
      <c r="D17" s="26"/>
      <c r="E17" s="26"/>
      <c r="F17" s="26"/>
      <c r="G17" s="26"/>
      <c r="H17" s="26"/>
      <c r="I17" s="26"/>
      <c r="J17" s="26"/>
      <c r="K17" s="26"/>
      <c r="L17" s="26"/>
      <c r="M17" s="76"/>
    </row>
    <row r="18" spans="1:13" s="3" customFormat="1" ht="11.25">
      <c r="A18" s="66" t="s">
        <v>78</v>
      </c>
      <c r="B18" s="25"/>
      <c r="C18" s="26"/>
      <c r="D18" s="27"/>
      <c r="E18" s="27"/>
      <c r="F18" s="27"/>
      <c r="G18" s="27"/>
      <c r="H18" s="27"/>
      <c r="I18" s="27"/>
      <c r="J18" s="27"/>
      <c r="K18" s="27"/>
      <c r="L18" s="27"/>
      <c r="M18" s="76"/>
    </row>
    <row r="19" spans="1:13" s="3" customFormat="1" ht="11.25">
      <c r="A19" s="16" t="s">
        <v>72</v>
      </c>
      <c r="B19" s="25">
        <f>IF(B14&gt;0,B11*$B$54,0)</f>
        <v>0.07028582132381131</v>
      </c>
      <c r="C19" s="18">
        <f aca="true" t="shared" si="8" ref="C19:L19">IF(C14&gt;0,C11*$B$54,0)</f>
        <v>0</v>
      </c>
      <c r="D19" s="18">
        <f t="shared" si="8"/>
        <v>0</v>
      </c>
      <c r="E19" s="18">
        <f t="shared" si="8"/>
        <v>0</v>
      </c>
      <c r="F19" s="18">
        <f t="shared" si="8"/>
        <v>0</v>
      </c>
      <c r="G19" s="18">
        <f t="shared" si="8"/>
        <v>0</v>
      </c>
      <c r="H19" s="18">
        <f t="shared" si="8"/>
        <v>0</v>
      </c>
      <c r="I19" s="18">
        <f t="shared" si="8"/>
        <v>0</v>
      </c>
      <c r="J19" s="18">
        <f t="shared" si="8"/>
        <v>0</v>
      </c>
      <c r="K19" s="18">
        <f t="shared" si="8"/>
        <v>0</v>
      </c>
      <c r="L19" s="18">
        <f t="shared" si="8"/>
        <v>0.07048740589739777</v>
      </c>
      <c r="M19" s="76"/>
    </row>
    <row r="20" spans="1:13" s="3" customFormat="1" ht="11.25">
      <c r="A20" s="16" t="s">
        <v>10</v>
      </c>
      <c r="B20" s="28">
        <f aca="true" t="shared" si="9" ref="B20:L20">B19*B16</f>
        <v>0.1049271680847383</v>
      </c>
      <c r="C20" s="29">
        <f t="shared" si="9"/>
        <v>0</v>
      </c>
      <c r="D20" s="29">
        <f t="shared" si="9"/>
        <v>0</v>
      </c>
      <c r="E20" s="29">
        <f t="shared" si="9"/>
        <v>0</v>
      </c>
      <c r="F20" s="29">
        <f t="shared" si="9"/>
        <v>0</v>
      </c>
      <c r="G20" s="29">
        <f t="shared" si="9"/>
        <v>0</v>
      </c>
      <c r="H20" s="29">
        <f t="shared" si="9"/>
        <v>0</v>
      </c>
      <c r="I20" s="29">
        <f t="shared" si="9"/>
        <v>0</v>
      </c>
      <c r="J20" s="29">
        <f t="shared" si="9"/>
        <v>0</v>
      </c>
      <c r="K20" s="29">
        <f t="shared" si="9"/>
        <v>0</v>
      </c>
      <c r="L20" s="29">
        <f t="shared" si="9"/>
        <v>0.04221196315111527</v>
      </c>
      <c r="M20" s="76">
        <f>SUM(B20:L20)</f>
        <v>0.14713913123585357</v>
      </c>
    </row>
    <row r="21" spans="1:13" s="3" customFormat="1" ht="11.25">
      <c r="A21" s="16" t="s">
        <v>80</v>
      </c>
      <c r="B21" s="25">
        <f aca="true" t="shared" si="10" ref="B21:L21">B10</f>
        <v>0.004757373929590866</v>
      </c>
      <c r="C21" s="27">
        <f t="shared" si="10"/>
        <v>0</v>
      </c>
      <c r="D21" s="27">
        <f t="shared" si="10"/>
        <v>0</v>
      </c>
      <c r="E21" s="27">
        <f t="shared" si="10"/>
        <v>0</v>
      </c>
      <c r="F21" s="27">
        <f t="shared" si="10"/>
        <v>0.9514747859181731</v>
      </c>
      <c r="G21" s="27">
        <f t="shared" si="10"/>
        <v>0</v>
      </c>
      <c r="H21" s="27">
        <f t="shared" si="10"/>
        <v>0</v>
      </c>
      <c r="I21" s="27">
        <f t="shared" si="10"/>
        <v>0</v>
      </c>
      <c r="J21" s="27">
        <f t="shared" si="10"/>
        <v>0.019029495718363463</v>
      </c>
      <c r="K21" s="27">
        <f t="shared" si="10"/>
        <v>0</v>
      </c>
      <c r="L21" s="27">
        <f t="shared" si="10"/>
        <v>0.001902949571836346</v>
      </c>
      <c r="M21" s="76"/>
    </row>
    <row r="22" spans="1:13" s="3" customFormat="1" ht="11.25">
      <c r="A22" s="16" t="s">
        <v>11</v>
      </c>
      <c r="B22" s="28">
        <f aca="true" t="shared" si="11" ref="B22:L22">B21*B16</f>
        <v>0.007102111984327373</v>
      </c>
      <c r="C22" s="29">
        <f t="shared" si="11"/>
        <v>0</v>
      </c>
      <c r="D22" s="29">
        <f t="shared" si="11"/>
        <v>0</v>
      </c>
      <c r="E22" s="29">
        <f t="shared" si="11"/>
        <v>0</v>
      </c>
      <c r="F22" s="29">
        <f t="shared" si="11"/>
        <v>0</v>
      </c>
      <c r="G22" s="29">
        <f t="shared" si="11"/>
        <v>0</v>
      </c>
      <c r="H22" s="29">
        <f t="shared" si="11"/>
        <v>0</v>
      </c>
      <c r="I22" s="29">
        <f t="shared" si="11"/>
        <v>0</v>
      </c>
      <c r="J22" s="29">
        <f t="shared" si="11"/>
        <v>0</v>
      </c>
      <c r="K22" s="29">
        <f t="shared" si="11"/>
        <v>0</v>
      </c>
      <c r="L22" s="29">
        <f t="shared" si="11"/>
        <v>0.001139597012858036</v>
      </c>
      <c r="M22" s="76">
        <f>SUM(B22:L22)</f>
        <v>0.00824170899718541</v>
      </c>
    </row>
    <row r="23" spans="1:13" s="3" customFormat="1" ht="11.25">
      <c r="A23" s="16" t="s">
        <v>81</v>
      </c>
      <c r="B23" s="25">
        <f aca="true" t="shared" si="12" ref="B23:L24">B19+B21</f>
        <v>0.07504319525340218</v>
      </c>
      <c r="C23" s="27">
        <f t="shared" si="12"/>
        <v>0</v>
      </c>
      <c r="D23" s="27">
        <f t="shared" si="12"/>
        <v>0</v>
      </c>
      <c r="E23" s="27">
        <f t="shared" si="12"/>
        <v>0</v>
      </c>
      <c r="F23" s="27">
        <f t="shared" si="12"/>
        <v>0.9514747859181731</v>
      </c>
      <c r="G23" s="27">
        <f t="shared" si="12"/>
        <v>0</v>
      </c>
      <c r="H23" s="27">
        <f t="shared" si="12"/>
        <v>0</v>
      </c>
      <c r="I23" s="27">
        <f t="shared" si="12"/>
        <v>0</v>
      </c>
      <c r="J23" s="27">
        <f t="shared" si="12"/>
        <v>0.019029495718363463</v>
      </c>
      <c r="K23" s="27">
        <f t="shared" si="12"/>
        <v>0</v>
      </c>
      <c r="L23" s="27">
        <f t="shared" si="12"/>
        <v>0.07239035546923411</v>
      </c>
      <c r="M23" s="76"/>
    </row>
    <row r="24" spans="1:13" s="3" customFormat="1" ht="11.25">
      <c r="A24" s="16" t="s">
        <v>12</v>
      </c>
      <c r="B24" s="28">
        <f t="shared" si="12"/>
        <v>0.11202928006906568</v>
      </c>
      <c r="C24" s="29">
        <f t="shared" si="12"/>
        <v>0</v>
      </c>
      <c r="D24" s="29">
        <f t="shared" si="12"/>
        <v>0</v>
      </c>
      <c r="E24" s="29">
        <f t="shared" si="12"/>
        <v>0</v>
      </c>
      <c r="F24" s="29">
        <f t="shared" si="12"/>
        <v>0</v>
      </c>
      <c r="G24" s="29">
        <f t="shared" si="12"/>
        <v>0</v>
      </c>
      <c r="H24" s="29">
        <f t="shared" si="12"/>
        <v>0</v>
      </c>
      <c r="I24" s="29">
        <f t="shared" si="12"/>
        <v>0</v>
      </c>
      <c r="J24" s="29">
        <f t="shared" si="12"/>
        <v>0</v>
      </c>
      <c r="K24" s="29">
        <f t="shared" si="12"/>
        <v>0</v>
      </c>
      <c r="L24" s="29">
        <f t="shared" si="12"/>
        <v>0.043351560163973304</v>
      </c>
      <c r="M24" s="76">
        <f>SUM(B24:L24)</f>
        <v>0.155380840233039</v>
      </c>
    </row>
    <row r="25" spans="1:13" s="3" customFormat="1" ht="11.25">
      <c r="A25" s="16" t="s">
        <v>86</v>
      </c>
      <c r="B25" s="25">
        <f aca="true" t="shared" si="13" ref="B25:L25">IF(B4&gt;0,100%-B23,B11)</f>
        <v>0.9249568047465978</v>
      </c>
      <c r="C25" s="27">
        <f t="shared" si="13"/>
        <v>0</v>
      </c>
      <c r="D25" s="27">
        <f t="shared" si="13"/>
        <v>0</v>
      </c>
      <c r="E25" s="27">
        <f t="shared" si="13"/>
        <v>0</v>
      </c>
      <c r="F25" s="27">
        <f t="shared" si="13"/>
        <v>0.04852521408182686</v>
      </c>
      <c r="G25" s="27">
        <f t="shared" si="13"/>
        <v>0</v>
      </c>
      <c r="H25" s="27">
        <f t="shared" si="13"/>
        <v>0</v>
      </c>
      <c r="I25" s="27">
        <f t="shared" si="13"/>
        <v>0</v>
      </c>
      <c r="J25" s="27">
        <f t="shared" si="13"/>
        <v>0.9809705042816366</v>
      </c>
      <c r="K25" s="27">
        <f t="shared" si="13"/>
        <v>0</v>
      </c>
      <c r="L25" s="27">
        <f t="shared" si="13"/>
        <v>0.9276096445307659</v>
      </c>
      <c r="M25" s="76"/>
    </row>
    <row r="26" spans="1:13" s="3" customFormat="1" ht="11.25">
      <c r="A26" s="16" t="s">
        <v>13</v>
      </c>
      <c r="B26" s="28">
        <f aca="true" t="shared" si="14" ref="B26:L26">B25*B16</f>
        <v>1.3808346590365481</v>
      </c>
      <c r="C26" s="29">
        <f t="shared" si="14"/>
        <v>0</v>
      </c>
      <c r="D26" s="29">
        <f t="shared" si="14"/>
        <v>0</v>
      </c>
      <c r="E26" s="29">
        <f t="shared" si="14"/>
        <v>0</v>
      </c>
      <c r="F26" s="29">
        <f t="shared" si="14"/>
        <v>0</v>
      </c>
      <c r="G26" s="29">
        <f t="shared" si="14"/>
        <v>0</v>
      </c>
      <c r="H26" s="29">
        <f t="shared" si="14"/>
        <v>0</v>
      </c>
      <c r="I26" s="29">
        <f t="shared" si="14"/>
        <v>0</v>
      </c>
      <c r="J26" s="29">
        <f t="shared" si="14"/>
        <v>0</v>
      </c>
      <c r="K26" s="29">
        <f t="shared" si="14"/>
        <v>0</v>
      </c>
      <c r="L26" s="29">
        <f t="shared" si="14"/>
        <v>0.5555066700929248</v>
      </c>
      <c r="M26" s="76">
        <f>SUM(B26:L26)</f>
        <v>1.9363413291294729</v>
      </c>
    </row>
    <row r="27" spans="1:13" s="3" customFormat="1" ht="11.25">
      <c r="A27" s="16"/>
      <c r="B27" s="25"/>
      <c r="C27" s="26"/>
      <c r="D27" s="27"/>
      <c r="E27" s="27"/>
      <c r="F27" s="27"/>
      <c r="G27" s="27"/>
      <c r="H27" s="27"/>
      <c r="I27" s="27"/>
      <c r="J27" s="27"/>
      <c r="K27" s="27"/>
      <c r="L27" s="27"/>
      <c r="M27" s="75"/>
    </row>
    <row r="28" spans="1:13" s="3" customFormat="1" ht="11.25">
      <c r="A28" s="66" t="s">
        <v>82</v>
      </c>
      <c r="B28" s="25"/>
      <c r="C28" s="26"/>
      <c r="D28" s="27"/>
      <c r="E28" s="27"/>
      <c r="F28" s="27"/>
      <c r="G28" s="27"/>
      <c r="H28" s="27"/>
      <c r="I28" s="27"/>
      <c r="J28" s="27"/>
      <c r="K28" s="27"/>
      <c r="L28" s="27"/>
      <c r="M28" s="75"/>
    </row>
    <row r="29" spans="1:13" s="3" customFormat="1" ht="11.25">
      <c r="A29" s="16" t="s">
        <v>79</v>
      </c>
      <c r="B29" s="25">
        <f aca="true" t="shared" si="15" ref="B29:L29">B19*B9</f>
        <v>0.00033437593398578166</v>
      </c>
      <c r="C29" s="26">
        <f t="shared" si="15"/>
        <v>0</v>
      </c>
      <c r="D29" s="26">
        <f t="shared" si="15"/>
        <v>0</v>
      </c>
      <c r="E29" s="26">
        <f t="shared" si="15"/>
        <v>0</v>
      </c>
      <c r="F29" s="26">
        <f t="shared" si="15"/>
        <v>0</v>
      </c>
      <c r="G29" s="26">
        <f t="shared" si="15"/>
        <v>0</v>
      </c>
      <c r="H29" s="26">
        <f t="shared" si="15"/>
        <v>0</v>
      </c>
      <c r="I29" s="26">
        <f t="shared" si="15"/>
        <v>0</v>
      </c>
      <c r="J29" s="26">
        <f t="shared" si="15"/>
        <v>0</v>
      </c>
      <c r="K29" s="26">
        <f t="shared" si="15"/>
        <v>0</v>
      </c>
      <c r="L29" s="26">
        <f t="shared" si="15"/>
        <v>0.00013413397887230782</v>
      </c>
      <c r="M29" s="75"/>
    </row>
    <row r="30" spans="1:13" s="3" customFormat="1" ht="11.25">
      <c r="A30" s="16"/>
      <c r="B30" s="25"/>
      <c r="C30" s="26"/>
      <c r="D30" s="26"/>
      <c r="E30" s="26"/>
      <c r="F30" s="26"/>
      <c r="G30" s="26"/>
      <c r="H30" s="26"/>
      <c r="I30" s="26"/>
      <c r="J30" s="26"/>
      <c r="K30" s="26"/>
      <c r="L30" s="26"/>
      <c r="M30" s="75"/>
    </row>
    <row r="31" spans="1:13" s="3" customFormat="1" ht="11.25">
      <c r="A31" s="16" t="s">
        <v>84</v>
      </c>
      <c r="B31" s="28">
        <f>IF(B4*B14&gt;0,'ISP Models'!B$12*B11,0)</f>
        <v>1.4928639391056138</v>
      </c>
      <c r="C31" s="29">
        <f>IF(C4*C14&gt;0,'ISP Models'!C$12*C11,0)</f>
        <v>0</v>
      </c>
      <c r="D31" s="29">
        <f>IF(D4*D14&gt;0,'ISP Models'!D$12*D11,0)</f>
        <v>0</v>
      </c>
      <c r="E31" s="29">
        <f>IF(E4*E14&gt;0,'ISP Models'!E$12*E11,0)</f>
        <v>0</v>
      </c>
      <c r="F31" s="29">
        <f>IF(F4*F14&gt;0,'ISP Models'!F$12*F11,0)</f>
        <v>0</v>
      </c>
      <c r="G31" s="29">
        <f>IF(G4*G14&gt;0,'ISP Models'!G$12*G11,0)</f>
        <v>0</v>
      </c>
      <c r="H31" s="29">
        <f>IF(H4*H14&gt;0,'ISP Models'!H$12*H11,0)</f>
        <v>0</v>
      </c>
      <c r="I31" s="29">
        <f>IF(I4*I14&gt;0,'ISP Models'!I$12*I11,0)</f>
        <v>0</v>
      </c>
      <c r="J31" s="29">
        <f>IF(J4*J14&gt;0,'ISP Models'!J$12*J11,0)</f>
        <v>0</v>
      </c>
      <c r="K31" s="29">
        <f>IF(K4*K14&gt;0,'ISP Models'!K$12*K11,0)</f>
        <v>0</v>
      </c>
      <c r="L31" s="29">
        <f>IF(L4*L14&gt;0,'ISP Models'!L$12*L11,0)</f>
        <v>0.5988582302568982</v>
      </c>
      <c r="M31" s="75"/>
    </row>
    <row r="32" spans="1:13" s="3" customFormat="1" ht="11.25">
      <c r="A32" s="16" t="s">
        <v>83</v>
      </c>
      <c r="B32" s="28">
        <f aca="true" t="shared" si="16" ref="B32:L32">B31-B24</f>
        <v>1.3808346590365481</v>
      </c>
      <c r="C32" s="29">
        <f t="shared" si="16"/>
        <v>0</v>
      </c>
      <c r="D32" s="29">
        <f t="shared" si="16"/>
        <v>0</v>
      </c>
      <c r="E32" s="29">
        <f t="shared" si="16"/>
        <v>0</v>
      </c>
      <c r="F32" s="29">
        <f t="shared" si="16"/>
        <v>0</v>
      </c>
      <c r="G32" s="29">
        <f t="shared" si="16"/>
        <v>0</v>
      </c>
      <c r="H32" s="29">
        <f t="shared" si="16"/>
        <v>0</v>
      </c>
      <c r="I32" s="29">
        <f t="shared" si="16"/>
        <v>0</v>
      </c>
      <c r="J32" s="29">
        <f t="shared" si="16"/>
        <v>0</v>
      </c>
      <c r="K32" s="29">
        <f t="shared" si="16"/>
        <v>0</v>
      </c>
      <c r="L32" s="29">
        <f t="shared" si="16"/>
        <v>0.5555066700929249</v>
      </c>
      <c r="M32" s="75"/>
    </row>
    <row r="33" spans="1:13" s="3" customFormat="1" ht="12" thickBot="1">
      <c r="A33" s="16"/>
      <c r="B33" s="30"/>
      <c r="C33" s="31"/>
      <c r="D33" s="31"/>
      <c r="E33" s="31"/>
      <c r="F33" s="31"/>
      <c r="G33" s="31"/>
      <c r="H33" s="31"/>
      <c r="I33" s="31"/>
      <c r="J33" s="31"/>
      <c r="K33" s="31"/>
      <c r="L33" s="31"/>
      <c r="M33" s="75"/>
    </row>
    <row r="34" spans="1:13" s="3" customFormat="1" ht="12" thickTop="1">
      <c r="A34" s="16" t="s">
        <v>16</v>
      </c>
      <c r="B34" s="23">
        <f aca="true" t="shared" si="17" ref="B34:L34">B31-B32</f>
        <v>0.11202928006906565</v>
      </c>
      <c r="C34" s="24">
        <f t="shared" si="17"/>
        <v>0</v>
      </c>
      <c r="D34" s="24">
        <f t="shared" si="17"/>
        <v>0</v>
      </c>
      <c r="E34" s="24">
        <f t="shared" si="17"/>
        <v>0</v>
      </c>
      <c r="F34" s="24">
        <f t="shared" si="17"/>
        <v>0</v>
      </c>
      <c r="G34" s="24">
        <f t="shared" si="17"/>
        <v>0</v>
      </c>
      <c r="H34" s="24">
        <f t="shared" si="17"/>
        <v>0</v>
      </c>
      <c r="I34" s="24">
        <f t="shared" si="17"/>
        <v>0</v>
      </c>
      <c r="J34" s="24">
        <f t="shared" si="17"/>
        <v>0</v>
      </c>
      <c r="K34" s="24">
        <f t="shared" si="17"/>
        <v>0</v>
      </c>
      <c r="L34" s="24">
        <f t="shared" si="17"/>
        <v>0.043351560163973346</v>
      </c>
      <c r="M34" s="75"/>
    </row>
    <row r="35" spans="1:13" s="3" customFormat="1" ht="11.25">
      <c r="A35" s="16" t="s">
        <v>88</v>
      </c>
      <c r="B35" s="32">
        <f aca="true" t="shared" si="18" ref="B35:L35">B34/B2</f>
        <v>0.02240585601381313</v>
      </c>
      <c r="C35" s="33">
        <f t="shared" si="18"/>
        <v>0</v>
      </c>
      <c r="D35" s="33">
        <f t="shared" si="18"/>
        <v>0</v>
      </c>
      <c r="E35" s="33">
        <f t="shared" si="18"/>
        <v>0</v>
      </c>
      <c r="F35" s="33">
        <f t="shared" si="18"/>
        <v>0</v>
      </c>
      <c r="G35" s="33">
        <f t="shared" si="18"/>
        <v>0</v>
      </c>
      <c r="H35" s="33">
        <f t="shared" si="18"/>
        <v>0</v>
      </c>
      <c r="I35" s="33">
        <f t="shared" si="18"/>
        <v>0</v>
      </c>
      <c r="J35" s="33">
        <f t="shared" si="18"/>
        <v>0</v>
      </c>
      <c r="K35" s="33">
        <f t="shared" si="18"/>
        <v>0</v>
      </c>
      <c r="L35" s="33">
        <f t="shared" si="18"/>
        <v>0.021675780081986673</v>
      </c>
      <c r="M35" s="75"/>
    </row>
    <row r="36" spans="1:13" s="3" customFormat="1" ht="11.25">
      <c r="A36" s="16" t="s">
        <v>0</v>
      </c>
      <c r="B36" s="34">
        <f>B34*'ISP Models'!B$6*12</f>
        <v>3495.3135381548486</v>
      </c>
      <c r="C36" s="35">
        <f>C34*'ISP Models'!C$6*12</f>
        <v>0</v>
      </c>
      <c r="D36" s="35">
        <f>D34*'ISP Models'!D$6*12</f>
        <v>0</v>
      </c>
      <c r="E36" s="35">
        <f>E34*'ISP Models'!E$6*12</f>
        <v>0</v>
      </c>
      <c r="F36" s="35">
        <f>F34*'ISP Models'!F$6*12</f>
        <v>0</v>
      </c>
      <c r="G36" s="35">
        <f>G34*'ISP Models'!G$6*12</f>
        <v>0</v>
      </c>
      <c r="H36" s="35">
        <f>H34*'ISP Models'!H$6*12</f>
        <v>0</v>
      </c>
      <c r="I36" s="35">
        <f>I34*'ISP Models'!I$6*12</f>
        <v>0</v>
      </c>
      <c r="J36" s="35">
        <f>J34*'ISP Models'!J$6*12</f>
        <v>0</v>
      </c>
      <c r="K36" s="35">
        <f>K34*'ISP Models'!K$6*12</f>
        <v>0</v>
      </c>
      <c r="L36" s="35">
        <f>L34*'ISP Models'!L$6*12</f>
        <v>1352.5686771159685</v>
      </c>
      <c r="M36" s="75"/>
    </row>
    <row r="37" spans="1:13" s="3" customFormat="1" ht="11.25">
      <c r="A37" s="16"/>
      <c r="B37" s="34"/>
      <c r="C37" s="35"/>
      <c r="D37" s="35"/>
      <c r="E37" s="35"/>
      <c r="F37" s="35"/>
      <c r="G37" s="35"/>
      <c r="H37" s="35"/>
      <c r="I37" s="35"/>
      <c r="J37" s="35"/>
      <c r="K37" s="35"/>
      <c r="L37" s="35"/>
      <c r="M37" s="75"/>
    </row>
    <row r="38" spans="1:13" s="3" customFormat="1" ht="11.25">
      <c r="A38" s="16" t="s">
        <v>18</v>
      </c>
      <c r="B38" s="36">
        <f>ROUNDUP(B34/'ISP Models'!$B$25,0)</f>
        <v>2</v>
      </c>
      <c r="C38" s="37">
        <f>ROUNDUP(C34/'ISP Models'!$B$25,0)</f>
        <v>0</v>
      </c>
      <c r="D38" s="38">
        <f>ROUNDUP(D34/'ISP Models'!$B$25,0)</f>
        <v>0</v>
      </c>
      <c r="E38" s="38">
        <f>ROUNDUP(E34/'ISP Models'!$B$25,0)</f>
        <v>0</v>
      </c>
      <c r="F38" s="38">
        <f>ROUNDUP(F34/'ISP Models'!$B$25,0)</f>
        <v>0</v>
      </c>
      <c r="G38" s="38">
        <f>ROUNDUP(G34/'ISP Models'!$B$25,0)</f>
        <v>0</v>
      </c>
      <c r="H38" s="38">
        <f>ROUNDUP(H34/'ISP Models'!$B$25,0)</f>
        <v>0</v>
      </c>
      <c r="I38" s="38">
        <f>ROUNDUP(I34/'ISP Models'!$B$25,0)</f>
        <v>0</v>
      </c>
      <c r="J38" s="38">
        <f>ROUNDUP(J34/'ISP Models'!$B$25,0)</f>
        <v>0</v>
      </c>
      <c r="K38" s="38">
        <f>ROUNDUP(K34/'ISP Models'!$B$25,0)</f>
        <v>0</v>
      </c>
      <c r="L38" s="38">
        <f>ROUNDUP(L34/'ISP Models'!$B$25,0)</f>
        <v>1</v>
      </c>
      <c r="M38" s="75"/>
    </row>
    <row r="39" spans="1:13" s="3" customFormat="1" ht="11.25">
      <c r="A39" s="16" t="s">
        <v>19</v>
      </c>
      <c r="B39" s="39">
        <f>B38*'ISP Models'!$B$25</f>
        <v>0.128</v>
      </c>
      <c r="C39" s="40">
        <f>C38*'ISP Models'!$B$25</f>
        <v>0</v>
      </c>
      <c r="D39" s="41">
        <f>D38*'ISP Models'!$B$25</f>
        <v>0</v>
      </c>
      <c r="E39" s="41">
        <f>E38*'ISP Models'!$B$25</f>
        <v>0</v>
      </c>
      <c r="F39" s="41">
        <f>F38*'ISP Models'!$B$25</f>
        <v>0</v>
      </c>
      <c r="G39" s="41">
        <f>G38*'ISP Models'!$B$25</f>
        <v>0</v>
      </c>
      <c r="H39" s="41">
        <f>H38*'ISP Models'!$B$25</f>
        <v>0</v>
      </c>
      <c r="I39" s="41">
        <f>I38*'ISP Models'!$B$25</f>
        <v>0</v>
      </c>
      <c r="J39" s="41">
        <f>J38*'ISP Models'!$B$25</f>
        <v>0</v>
      </c>
      <c r="K39" s="41">
        <f>K38*'ISP Models'!$B$25</f>
        <v>0</v>
      </c>
      <c r="L39" s="41">
        <f>L38*'ISP Models'!$B$25</f>
        <v>0.064</v>
      </c>
      <c r="M39" s="75"/>
    </row>
    <row r="40" spans="1:13" s="3" customFormat="1" ht="11.25">
      <c r="A40" s="16" t="s">
        <v>20</v>
      </c>
      <c r="B40" s="39">
        <f aca="true" t="shared" si="19" ref="B40:L40">B39-B34</f>
        <v>0.01597071993093435</v>
      </c>
      <c r="C40" s="40">
        <f t="shared" si="19"/>
        <v>0</v>
      </c>
      <c r="D40" s="41">
        <f t="shared" si="19"/>
        <v>0</v>
      </c>
      <c r="E40" s="41">
        <f t="shared" si="19"/>
        <v>0</v>
      </c>
      <c r="F40" s="41">
        <f t="shared" si="19"/>
        <v>0</v>
      </c>
      <c r="G40" s="41">
        <f t="shared" si="19"/>
        <v>0</v>
      </c>
      <c r="H40" s="41">
        <f t="shared" si="19"/>
        <v>0</v>
      </c>
      <c r="I40" s="41">
        <f t="shared" si="19"/>
        <v>0</v>
      </c>
      <c r="J40" s="41">
        <f t="shared" si="19"/>
        <v>0</v>
      </c>
      <c r="K40" s="41">
        <f t="shared" si="19"/>
        <v>0</v>
      </c>
      <c r="L40" s="41">
        <f t="shared" si="19"/>
        <v>0.020648439836026655</v>
      </c>
      <c r="M40" s="75"/>
    </row>
    <row r="41" spans="1:13" s="3" customFormat="1" ht="11.25">
      <c r="A41" s="16" t="s">
        <v>1</v>
      </c>
      <c r="B41" s="34">
        <f>B39*'ISP Models'!B$15*12</f>
        <v>1536</v>
      </c>
      <c r="C41" s="42">
        <f>C39*'ISP Models'!C$15*12</f>
        <v>0</v>
      </c>
      <c r="D41" s="43">
        <f>D39*'ISP Models'!D$15*12</f>
        <v>0</v>
      </c>
      <c r="E41" s="43">
        <f>E39*'ISP Models'!E$15*12</f>
        <v>0</v>
      </c>
      <c r="F41" s="43">
        <f>F39*'ISP Models'!F$15*12</f>
        <v>0</v>
      </c>
      <c r="G41" s="43">
        <f>G39*'ISP Models'!G$15*12</f>
        <v>0</v>
      </c>
      <c r="H41" s="43">
        <f>H39*'ISP Models'!H$15*12</f>
        <v>0</v>
      </c>
      <c r="I41" s="43">
        <f>I39*'ISP Models'!I$15*12</f>
        <v>0</v>
      </c>
      <c r="J41" s="43">
        <f>J39*'ISP Models'!J$15*12</f>
        <v>0</v>
      </c>
      <c r="K41" s="43">
        <f>K39*'ISP Models'!K$15*12</f>
        <v>0</v>
      </c>
      <c r="L41" s="43">
        <f>L39*'ISP Models'!L$15*12</f>
        <v>768</v>
      </c>
      <c r="M41" s="75"/>
    </row>
    <row r="42" spans="1:13" s="3" customFormat="1" ht="11.25">
      <c r="A42" s="16" t="s">
        <v>2</v>
      </c>
      <c r="B42" s="34">
        <f>IF(B14&gt;0,'ISP Models'!$B$26,0)</f>
        <v>1000</v>
      </c>
      <c r="C42" s="42">
        <f>IF(C14&gt;0,'ISP Models'!$B$26,0)</f>
        <v>0</v>
      </c>
      <c r="D42" s="43">
        <f>IF(D14&gt;0,'ISP Models'!$B$26,0)</f>
        <v>0</v>
      </c>
      <c r="E42" s="43">
        <f>IF(E14&gt;0,'ISP Models'!$B$26,0)</f>
        <v>0</v>
      </c>
      <c r="F42" s="43">
        <f>IF(F14&gt;0,'ISP Models'!$B$26,0)</f>
        <v>0</v>
      </c>
      <c r="G42" s="43">
        <f>IF(G14&gt;0,'ISP Models'!$B$26,0)</f>
        <v>0</v>
      </c>
      <c r="H42" s="43">
        <f>IF(H14&gt;0,'ISP Models'!$B$26,0)</f>
        <v>0</v>
      </c>
      <c r="I42" s="43">
        <f>IF(I14&gt;0,'ISP Models'!$B$26,0)</f>
        <v>0</v>
      </c>
      <c r="J42" s="43">
        <f>IF(J14&gt;0,'ISP Models'!$B$26,0)</f>
        <v>0</v>
      </c>
      <c r="K42" s="43">
        <f>IF(K14&gt;0,'ISP Models'!$B$26,0)</f>
        <v>0</v>
      </c>
      <c r="L42" s="43">
        <f>IF(L14&gt;0,'ISP Models'!$B$26,0)</f>
        <v>1000</v>
      </c>
      <c r="M42" s="75"/>
    </row>
    <row r="43" spans="1:13" s="3" customFormat="1" ht="12" thickBot="1">
      <c r="A43" s="16"/>
      <c r="B43" s="44"/>
      <c r="C43" s="45"/>
      <c r="D43" s="45"/>
      <c r="E43" s="45"/>
      <c r="F43" s="45"/>
      <c r="G43" s="45"/>
      <c r="H43" s="45"/>
      <c r="I43" s="45"/>
      <c r="J43" s="45"/>
      <c r="K43" s="45"/>
      <c r="L43" s="46"/>
      <c r="M43" s="75"/>
    </row>
    <row r="44" spans="1:13" s="3" customFormat="1" ht="12" thickTop="1">
      <c r="A44" s="16" t="s">
        <v>9</v>
      </c>
      <c r="B44" s="34">
        <f aca="true" t="shared" si="20" ref="B44:L44">B36-(B41+B42)</f>
        <v>959.3135381548486</v>
      </c>
      <c r="C44" s="43">
        <f t="shared" si="20"/>
        <v>0</v>
      </c>
      <c r="D44" s="43">
        <f t="shared" si="20"/>
        <v>0</v>
      </c>
      <c r="E44" s="43">
        <f t="shared" si="20"/>
        <v>0</v>
      </c>
      <c r="F44" s="43">
        <f t="shared" si="20"/>
        <v>0</v>
      </c>
      <c r="G44" s="43">
        <f t="shared" si="20"/>
        <v>0</v>
      </c>
      <c r="H44" s="43">
        <f t="shared" si="20"/>
        <v>0</v>
      </c>
      <c r="I44" s="43">
        <f t="shared" si="20"/>
        <v>0</v>
      </c>
      <c r="J44" s="43">
        <f t="shared" si="20"/>
        <v>0</v>
      </c>
      <c r="K44" s="43">
        <f t="shared" si="20"/>
        <v>0</v>
      </c>
      <c r="L44" s="43">
        <f t="shared" si="20"/>
        <v>-415.4313228840315</v>
      </c>
      <c r="M44" s="75"/>
    </row>
    <row r="45" spans="1:13" s="3" customFormat="1" ht="11.25">
      <c r="A45" s="16"/>
      <c r="B45" s="25"/>
      <c r="C45" s="26"/>
      <c r="D45" s="26"/>
      <c r="E45" s="26"/>
      <c r="F45" s="26"/>
      <c r="G45" s="26"/>
      <c r="H45" s="26"/>
      <c r="I45" s="26"/>
      <c r="J45" s="26"/>
      <c r="K45" s="26"/>
      <c r="L45" s="26"/>
      <c r="M45" s="75"/>
    </row>
    <row r="46" spans="1:13" s="3" customFormat="1" ht="11.25">
      <c r="A46" s="16" t="s">
        <v>17</v>
      </c>
      <c r="B46" s="28">
        <f aca="true" t="shared" si="21" ref="B46:L46">B34*B$14</f>
        <v>0.11202928006906565</v>
      </c>
      <c r="C46" s="29">
        <f t="shared" si="21"/>
        <v>0</v>
      </c>
      <c r="D46" s="29">
        <f t="shared" si="21"/>
        <v>0</v>
      </c>
      <c r="E46" s="29">
        <f t="shared" si="21"/>
        <v>0</v>
      </c>
      <c r="F46" s="29">
        <f t="shared" si="21"/>
        <v>0</v>
      </c>
      <c r="G46" s="29">
        <f t="shared" si="21"/>
        <v>0</v>
      </c>
      <c r="H46" s="29">
        <f t="shared" si="21"/>
        <v>0</v>
      </c>
      <c r="I46" s="29">
        <f t="shared" si="21"/>
        <v>0</v>
      </c>
      <c r="J46" s="29">
        <f t="shared" si="21"/>
        <v>0</v>
      </c>
      <c r="K46" s="29">
        <f t="shared" si="21"/>
        <v>0</v>
      </c>
      <c r="L46" s="29">
        <f t="shared" si="21"/>
        <v>0.043351560163973346</v>
      </c>
      <c r="M46" s="75"/>
    </row>
    <row r="47" spans="1:13" s="3" customFormat="1" ht="11.25">
      <c r="A47" s="16" t="s">
        <v>89</v>
      </c>
      <c r="B47" s="34">
        <f aca="true" t="shared" si="22" ref="B47:L47">B36*B$14</f>
        <v>3495.3135381548486</v>
      </c>
      <c r="C47" s="43">
        <f t="shared" si="22"/>
        <v>0</v>
      </c>
      <c r="D47" s="43">
        <f t="shared" si="22"/>
        <v>0</v>
      </c>
      <c r="E47" s="43">
        <f t="shared" si="22"/>
        <v>0</v>
      </c>
      <c r="F47" s="43">
        <f t="shared" si="22"/>
        <v>0</v>
      </c>
      <c r="G47" s="43">
        <f t="shared" si="22"/>
        <v>0</v>
      </c>
      <c r="H47" s="43">
        <f t="shared" si="22"/>
        <v>0</v>
      </c>
      <c r="I47" s="43">
        <f t="shared" si="22"/>
        <v>0</v>
      </c>
      <c r="J47" s="43">
        <f t="shared" si="22"/>
        <v>0</v>
      </c>
      <c r="K47" s="43">
        <f t="shared" si="22"/>
        <v>0</v>
      </c>
      <c r="L47" s="43">
        <f t="shared" si="22"/>
        <v>1352.5686771159685</v>
      </c>
      <c r="M47" s="75"/>
    </row>
    <row r="48" spans="1:13" s="3" customFormat="1" ht="11.25">
      <c r="A48" s="16" t="s">
        <v>14</v>
      </c>
      <c r="B48" s="34">
        <f aca="true" t="shared" si="23" ref="B48:L48">B41*B14</f>
        <v>1536</v>
      </c>
      <c r="C48" s="35">
        <f t="shared" si="23"/>
        <v>0</v>
      </c>
      <c r="D48" s="35">
        <f t="shared" si="23"/>
        <v>0</v>
      </c>
      <c r="E48" s="35">
        <f t="shared" si="23"/>
        <v>0</v>
      </c>
      <c r="F48" s="35">
        <f t="shared" si="23"/>
        <v>0</v>
      </c>
      <c r="G48" s="35">
        <f t="shared" si="23"/>
        <v>0</v>
      </c>
      <c r="H48" s="35">
        <f t="shared" si="23"/>
        <v>0</v>
      </c>
      <c r="I48" s="35">
        <f t="shared" si="23"/>
        <v>0</v>
      </c>
      <c r="J48" s="35">
        <f t="shared" si="23"/>
        <v>0</v>
      </c>
      <c r="K48" s="35">
        <f t="shared" si="23"/>
        <v>0</v>
      </c>
      <c r="L48" s="35">
        <f t="shared" si="23"/>
        <v>768</v>
      </c>
      <c r="M48" s="75"/>
    </row>
    <row r="49" spans="1:13" s="3" customFormat="1" ht="11.25">
      <c r="A49" s="16" t="s">
        <v>15</v>
      </c>
      <c r="B49" s="34">
        <f aca="true" t="shared" si="24" ref="B49:L49">B42*B14</f>
        <v>1000</v>
      </c>
      <c r="C49" s="35">
        <f t="shared" si="24"/>
        <v>0</v>
      </c>
      <c r="D49" s="35">
        <f t="shared" si="24"/>
        <v>0</v>
      </c>
      <c r="E49" s="35">
        <f t="shared" si="24"/>
        <v>0</v>
      </c>
      <c r="F49" s="35">
        <f t="shared" si="24"/>
        <v>0</v>
      </c>
      <c r="G49" s="35">
        <f t="shared" si="24"/>
        <v>0</v>
      </c>
      <c r="H49" s="35">
        <f t="shared" si="24"/>
        <v>0</v>
      </c>
      <c r="I49" s="35">
        <f t="shared" si="24"/>
        <v>0</v>
      </c>
      <c r="J49" s="35">
        <f t="shared" si="24"/>
        <v>0</v>
      </c>
      <c r="K49" s="35">
        <f t="shared" si="24"/>
        <v>0</v>
      </c>
      <c r="L49" s="35">
        <f t="shared" si="24"/>
        <v>1000</v>
      </c>
      <c r="M49" s="75"/>
    </row>
    <row r="50" spans="1:13" s="3" customFormat="1" ht="12" thickBot="1">
      <c r="A50" s="16"/>
      <c r="B50" s="44"/>
      <c r="C50" s="45"/>
      <c r="D50" s="45"/>
      <c r="E50" s="45"/>
      <c r="F50" s="45"/>
      <c r="G50" s="45"/>
      <c r="H50" s="45"/>
      <c r="I50" s="45"/>
      <c r="J50" s="45"/>
      <c r="K50" s="45"/>
      <c r="L50" s="45"/>
      <c r="M50" s="75"/>
    </row>
    <row r="51" spans="1:13" s="3" customFormat="1" ht="12.75" thickBot="1" thickTop="1">
      <c r="A51" s="91" t="s">
        <v>9</v>
      </c>
      <c r="B51" s="47">
        <f aca="true" t="shared" si="25" ref="B51:L51">B47-(B48+B49)</f>
        <v>959.3135381548486</v>
      </c>
      <c r="C51" s="86">
        <f t="shared" si="25"/>
        <v>0</v>
      </c>
      <c r="D51" s="87">
        <f t="shared" si="25"/>
        <v>0</v>
      </c>
      <c r="E51" s="87">
        <f t="shared" si="25"/>
        <v>0</v>
      </c>
      <c r="F51" s="87">
        <f t="shared" si="25"/>
        <v>0</v>
      </c>
      <c r="G51" s="87">
        <f t="shared" si="25"/>
        <v>0</v>
      </c>
      <c r="H51" s="87">
        <f t="shared" si="25"/>
        <v>0</v>
      </c>
      <c r="I51" s="87">
        <f t="shared" si="25"/>
        <v>0</v>
      </c>
      <c r="J51" s="87">
        <f t="shared" si="25"/>
        <v>0</v>
      </c>
      <c r="K51" s="87">
        <f t="shared" si="25"/>
        <v>0</v>
      </c>
      <c r="L51" s="88">
        <f t="shared" si="25"/>
        <v>-415.4313228840315</v>
      </c>
      <c r="M51" s="11"/>
    </row>
    <row r="52" s="3" customFormat="1" ht="11.25">
      <c r="M52" s="11"/>
    </row>
    <row r="53" spans="1:2" s="3" customFormat="1" ht="11.25">
      <c r="A53" s="3" t="s">
        <v>73</v>
      </c>
      <c r="B53" s="48">
        <f>SUM(B16:L16)/SUM(B6:L6)</f>
        <v>0.006634069677648309</v>
      </c>
    </row>
    <row r="54" spans="1:2" s="3" customFormat="1" ht="11.25">
      <c r="A54" s="3" t="s">
        <v>21</v>
      </c>
      <c r="B54" s="48">
        <f>+SUM(B16:L16)/SUM(B12:L12)</f>
        <v>0.07062179561312207</v>
      </c>
    </row>
    <row r="55" s="3" customFormat="1" ht="12" thickBot="1"/>
    <row r="56" spans="1:2" s="3" customFormat="1" ht="12" thickBot="1">
      <c r="A56" s="90" t="s">
        <v>90</v>
      </c>
      <c r="B56" s="89">
        <f>SUM(B47:L47)</f>
        <v>4847.882215270817</v>
      </c>
    </row>
    <row r="57" s="3" customFormat="1" ht="11.25"/>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M56"/>
  <sheetViews>
    <sheetView workbookViewId="0" topLeftCell="A1">
      <selection activeCell="A14" sqref="A14"/>
    </sheetView>
  </sheetViews>
  <sheetFormatPr defaultColWidth="9.140625" defaultRowHeight="12.75"/>
  <cols>
    <col min="1" max="1" width="47.00390625" style="0" customWidth="1"/>
    <col min="2" max="2" width="10.57421875" style="0" customWidth="1"/>
    <col min="3" max="3" width="7.7109375" style="0" customWidth="1"/>
    <col min="4" max="4" width="9.00390625" style="0" customWidth="1"/>
    <col min="5" max="6" width="7.28125" style="0" customWidth="1"/>
    <col min="7" max="7" width="8.28125" style="0" customWidth="1"/>
    <col min="8" max="8" width="7.8515625" style="0" bestFit="1" customWidth="1"/>
    <col min="9" max="9" width="7.28125" style="0" customWidth="1"/>
    <col min="10" max="10" width="8.7109375" style="0" customWidth="1"/>
    <col min="11" max="11" width="7.28125" style="0" customWidth="1"/>
    <col min="12" max="13" width="8.7109375" style="0" customWidth="1"/>
    <col min="14" max="16384" width="8.8515625" style="0" customWidth="1"/>
  </cols>
  <sheetData>
    <row r="1" spans="1:13" s="3" customFormat="1" ht="12" thickBot="1">
      <c r="A1" s="2" t="s">
        <v>92</v>
      </c>
      <c r="B1" s="69" t="s">
        <v>68</v>
      </c>
      <c r="C1" s="70" t="s">
        <v>60</v>
      </c>
      <c r="D1" s="70" t="s">
        <v>61</v>
      </c>
      <c r="E1" s="70" t="s">
        <v>62</v>
      </c>
      <c r="F1" s="71" t="s">
        <v>27</v>
      </c>
      <c r="G1" s="71" t="s">
        <v>28</v>
      </c>
      <c r="H1" s="71" t="s">
        <v>29</v>
      </c>
      <c r="I1" s="72" t="s">
        <v>30</v>
      </c>
      <c r="J1" s="72" t="s">
        <v>31</v>
      </c>
      <c r="K1" s="72" t="s">
        <v>32</v>
      </c>
      <c r="L1" s="72" t="s">
        <v>33</v>
      </c>
      <c r="M1" s="73" t="s">
        <v>69</v>
      </c>
    </row>
    <row r="2" spans="1:13" s="3" customFormat="1" ht="11.25">
      <c r="A2" s="8" t="s">
        <v>67</v>
      </c>
      <c r="B2" s="9">
        <f>'ISP Models'!$B$5</f>
        <v>5</v>
      </c>
      <c r="C2" s="10">
        <f>'ISP Models'!$C$5</f>
        <v>50000</v>
      </c>
      <c r="D2" s="10">
        <f>'ISP Models'!$D$5</f>
        <v>10000</v>
      </c>
      <c r="E2" s="10">
        <f>'ISP Models'!$E$5</f>
        <v>2500</v>
      </c>
      <c r="F2" s="10">
        <f>'ISP Models'!$F$5</f>
        <v>1000</v>
      </c>
      <c r="G2" s="10">
        <f>'ISP Models'!$G$5</f>
        <v>500</v>
      </c>
      <c r="H2" s="10">
        <f>'ISP Models'!$H$5</f>
        <v>250</v>
      </c>
      <c r="I2" s="10">
        <f>'ISP Models'!$I$5</f>
        <v>100</v>
      </c>
      <c r="J2" s="10">
        <f>'ISP Models'!$J$5</f>
        <v>20</v>
      </c>
      <c r="K2" s="10">
        <f>'ISP Models'!$K$5</f>
        <v>5</v>
      </c>
      <c r="L2" s="10">
        <f>'ISP Models'!$L$5</f>
        <v>2</v>
      </c>
      <c r="M2" s="74"/>
    </row>
    <row r="3" spans="1:13" s="3" customFormat="1" ht="11.25">
      <c r="A3" s="8"/>
      <c r="B3" s="9"/>
      <c r="M3" s="75"/>
    </row>
    <row r="4" spans="1:13" s="3" customFormat="1" ht="11.25">
      <c r="A4" s="78" t="s">
        <v>65</v>
      </c>
      <c r="B4" s="12">
        <v>1</v>
      </c>
      <c r="C4" s="13">
        <v>0</v>
      </c>
      <c r="D4" s="13">
        <v>1</v>
      </c>
      <c r="E4" s="13">
        <v>0</v>
      </c>
      <c r="F4" s="13">
        <v>0</v>
      </c>
      <c r="G4" s="13">
        <v>0</v>
      </c>
      <c r="H4" s="13">
        <v>1</v>
      </c>
      <c r="I4" s="13">
        <v>0</v>
      </c>
      <c r="J4" s="13">
        <v>5</v>
      </c>
      <c r="K4" s="13">
        <v>0</v>
      </c>
      <c r="L4" s="13">
        <v>12</v>
      </c>
      <c r="M4" s="75"/>
    </row>
    <row r="5" spans="1:13" s="3" customFormat="1" ht="11.25">
      <c r="A5" s="8" t="s">
        <v>23</v>
      </c>
      <c r="B5" s="67">
        <f>+B4*B2</f>
        <v>5</v>
      </c>
      <c r="C5" s="68">
        <f aca="true" t="shared" si="0" ref="C5:L5">+C4*C2</f>
        <v>0</v>
      </c>
      <c r="D5" s="68">
        <f t="shared" si="0"/>
        <v>10000</v>
      </c>
      <c r="E5" s="68">
        <f t="shared" si="0"/>
        <v>0</v>
      </c>
      <c r="F5" s="68">
        <f t="shared" si="0"/>
        <v>0</v>
      </c>
      <c r="G5" s="68">
        <f t="shared" si="0"/>
        <v>0</v>
      </c>
      <c r="H5" s="68">
        <f t="shared" si="0"/>
        <v>250</v>
      </c>
      <c r="I5" s="68">
        <f t="shared" si="0"/>
        <v>0</v>
      </c>
      <c r="J5" s="68">
        <f t="shared" si="0"/>
        <v>100</v>
      </c>
      <c r="K5" s="68">
        <f t="shared" si="0"/>
        <v>0</v>
      </c>
      <c r="L5" s="68">
        <f t="shared" si="0"/>
        <v>24</v>
      </c>
      <c r="M5" s="76">
        <f>SUM(B5:L5)</f>
        <v>10379</v>
      </c>
    </row>
    <row r="6" spans="1:13" s="3" customFormat="1" ht="11.25">
      <c r="A6" s="8" t="s">
        <v>85</v>
      </c>
      <c r="B6" s="67">
        <f>B4*B2*'ISP Models'!B$11</f>
        <v>1.5</v>
      </c>
      <c r="C6" s="68">
        <f>C4*C2*'ISP Models'!C$11</f>
        <v>0</v>
      </c>
      <c r="D6" s="68">
        <f>D4*D2*'ISP Models'!D$11</f>
        <v>3000</v>
      </c>
      <c r="E6" s="68">
        <f>E4*E2*'ISP Models'!E$11</f>
        <v>0</v>
      </c>
      <c r="F6" s="68">
        <f>F4*F2*'ISP Models'!F$11</f>
        <v>0</v>
      </c>
      <c r="G6" s="68">
        <f>G4*G2*'ISP Models'!G$11</f>
        <v>0</v>
      </c>
      <c r="H6" s="68">
        <f>H4*H2*'ISP Models'!H$11</f>
        <v>75</v>
      </c>
      <c r="I6" s="68">
        <f>I4*I2*'ISP Models'!I$11</f>
        <v>0</v>
      </c>
      <c r="J6" s="68">
        <f>J4*J2*'ISP Models'!J$11</f>
        <v>30</v>
      </c>
      <c r="K6" s="68">
        <f>K4*K2*'ISP Models'!K$11</f>
        <v>0</v>
      </c>
      <c r="L6" s="68">
        <f>L4*L2*'ISP Models'!L$11</f>
        <v>7.199999999999999</v>
      </c>
      <c r="M6" s="76">
        <f>SUM(B6:L6)</f>
        <v>3113.7</v>
      </c>
    </row>
    <row r="7" spans="1:13" s="3" customFormat="1" ht="11.25">
      <c r="A7" s="8"/>
      <c r="B7" s="14"/>
      <c r="C7" s="15"/>
      <c r="D7" s="15"/>
      <c r="E7" s="15"/>
      <c r="F7" s="15"/>
      <c r="G7" s="15"/>
      <c r="H7" s="15"/>
      <c r="I7" s="15"/>
      <c r="J7" s="15"/>
      <c r="K7" s="15"/>
      <c r="L7" s="15"/>
      <c r="M7" s="77"/>
    </row>
    <row r="8" spans="1:13" s="3" customFormat="1" ht="11.25">
      <c r="A8" s="66" t="s">
        <v>74</v>
      </c>
      <c r="B8" s="14"/>
      <c r="C8" s="15"/>
      <c r="D8" s="15"/>
      <c r="E8" s="15"/>
      <c r="F8" s="15"/>
      <c r="G8" s="15"/>
      <c r="H8" s="15"/>
      <c r="I8" s="15"/>
      <c r="J8" s="15"/>
      <c r="K8" s="15"/>
      <c r="L8" s="15"/>
      <c r="M8" s="77"/>
    </row>
    <row r="9" spans="1:13" s="3" customFormat="1" ht="11.25">
      <c r="A9" s="16" t="s">
        <v>75</v>
      </c>
      <c r="B9" s="17">
        <f aca="true" t="shared" si="1" ref="B9:L9">IF(B4&gt;0,B6/SUM($B$6:$L$6)/B4,0)</f>
        <v>0.00048174197899604975</v>
      </c>
      <c r="C9" s="18">
        <f t="shared" si="1"/>
        <v>0</v>
      </c>
      <c r="D9" s="18">
        <f t="shared" si="1"/>
        <v>0.9634839579920995</v>
      </c>
      <c r="E9" s="18">
        <f t="shared" si="1"/>
        <v>0</v>
      </c>
      <c r="F9" s="18">
        <f t="shared" si="1"/>
        <v>0</v>
      </c>
      <c r="G9" s="18">
        <f t="shared" si="1"/>
        <v>0</v>
      </c>
      <c r="H9" s="18">
        <f t="shared" si="1"/>
        <v>0.024087098949802488</v>
      </c>
      <c r="I9" s="18">
        <f t="shared" si="1"/>
        <v>0</v>
      </c>
      <c r="J9" s="18">
        <f t="shared" si="1"/>
        <v>0.0019269679159841988</v>
      </c>
      <c r="K9" s="18">
        <f t="shared" si="1"/>
        <v>0</v>
      </c>
      <c r="L9" s="18">
        <f t="shared" si="1"/>
        <v>0.00019269679159841988</v>
      </c>
      <c r="M9" s="75"/>
    </row>
    <row r="10" spans="1:13" s="3" customFormat="1" ht="11.25">
      <c r="A10" s="16" t="s">
        <v>77</v>
      </c>
      <c r="B10" s="17">
        <f aca="true" t="shared" si="2" ref="B10:L10">B9</f>
        <v>0.00048174197899604975</v>
      </c>
      <c r="C10" s="18">
        <f t="shared" si="2"/>
        <v>0</v>
      </c>
      <c r="D10" s="18">
        <f t="shared" si="2"/>
        <v>0.9634839579920995</v>
      </c>
      <c r="E10" s="18">
        <f t="shared" si="2"/>
        <v>0</v>
      </c>
      <c r="F10" s="18">
        <f t="shared" si="2"/>
        <v>0</v>
      </c>
      <c r="G10" s="18">
        <f t="shared" si="2"/>
        <v>0</v>
      </c>
      <c r="H10" s="18">
        <f t="shared" si="2"/>
        <v>0.024087098949802488</v>
      </c>
      <c r="I10" s="18">
        <f t="shared" si="2"/>
        <v>0</v>
      </c>
      <c r="J10" s="18">
        <f t="shared" si="2"/>
        <v>0.0019269679159841988</v>
      </c>
      <c r="K10" s="18">
        <f t="shared" si="2"/>
        <v>0</v>
      </c>
      <c r="L10" s="18">
        <f t="shared" si="2"/>
        <v>0.00019269679159841988</v>
      </c>
      <c r="M10" s="75"/>
    </row>
    <row r="11" spans="1:13" s="3" customFormat="1" ht="11.25">
      <c r="A11" s="16" t="s">
        <v>76</v>
      </c>
      <c r="B11" s="17">
        <f aca="true" t="shared" si="3" ref="B11:L11">IF(B4&gt;0,100%-B9,0)</f>
        <v>0.9995182580210039</v>
      </c>
      <c r="C11" s="18">
        <f t="shared" si="3"/>
        <v>0</v>
      </c>
      <c r="D11" s="18">
        <f t="shared" si="3"/>
        <v>0.036516042007900484</v>
      </c>
      <c r="E11" s="18">
        <f t="shared" si="3"/>
        <v>0</v>
      </c>
      <c r="F11" s="18">
        <f t="shared" si="3"/>
        <v>0</v>
      </c>
      <c r="G11" s="18">
        <f t="shared" si="3"/>
        <v>0</v>
      </c>
      <c r="H11" s="18">
        <f t="shared" si="3"/>
        <v>0.9759129010501975</v>
      </c>
      <c r="I11" s="18">
        <f t="shared" si="3"/>
        <v>0</v>
      </c>
      <c r="J11" s="18">
        <f t="shared" si="3"/>
        <v>0.9980730320840158</v>
      </c>
      <c r="K11" s="18">
        <f t="shared" si="3"/>
        <v>0</v>
      </c>
      <c r="L11" s="18">
        <f t="shared" si="3"/>
        <v>0.9998073032084016</v>
      </c>
      <c r="M11" s="75"/>
    </row>
    <row r="12" spans="1:13" s="3" customFormat="1" ht="11.25">
      <c r="A12" s="16" t="s">
        <v>22</v>
      </c>
      <c r="B12" s="67">
        <f aca="true" t="shared" si="4" ref="B12:L12">+B6*B11</f>
        <v>1.499277387031506</v>
      </c>
      <c r="C12" s="68">
        <f t="shared" si="4"/>
        <v>0</v>
      </c>
      <c r="D12" s="68">
        <f t="shared" si="4"/>
        <v>109.54812602370146</v>
      </c>
      <c r="E12" s="68">
        <f t="shared" si="4"/>
        <v>0</v>
      </c>
      <c r="F12" s="68">
        <f t="shared" si="4"/>
        <v>0</v>
      </c>
      <c r="G12" s="68">
        <f t="shared" si="4"/>
        <v>0</v>
      </c>
      <c r="H12" s="68">
        <f t="shared" si="4"/>
        <v>73.19346757876481</v>
      </c>
      <c r="I12" s="68">
        <f t="shared" si="4"/>
        <v>0</v>
      </c>
      <c r="J12" s="68">
        <f t="shared" si="4"/>
        <v>29.942190962520474</v>
      </c>
      <c r="K12" s="68">
        <f t="shared" si="4"/>
        <v>0</v>
      </c>
      <c r="L12" s="68">
        <f t="shared" si="4"/>
        <v>7.198612583100491</v>
      </c>
      <c r="M12" s="76">
        <f>SUM(B12:L12)</f>
        <v>221.38167453511875</v>
      </c>
    </row>
    <row r="13" spans="1:13" s="3" customFormat="1" ht="11.25">
      <c r="A13" s="8"/>
      <c r="B13" s="19">
        <f aca="true" t="shared" si="5" ref="B13:L13">IF(B14&gt;B4,"ERROR","")</f>
      </c>
      <c r="C13" s="20">
        <f t="shared" si="5"/>
      </c>
      <c r="D13" s="20">
        <f t="shared" si="5"/>
      </c>
      <c r="E13" s="20">
        <f t="shared" si="5"/>
      </c>
      <c r="F13" s="20">
        <f t="shared" si="5"/>
      </c>
      <c r="G13" s="20">
        <f t="shared" si="5"/>
      </c>
      <c r="H13" s="20">
        <f t="shared" si="5"/>
      </c>
      <c r="I13" s="20">
        <f t="shared" si="5"/>
      </c>
      <c r="J13" s="20">
        <f t="shared" si="5"/>
      </c>
      <c r="K13" s="20">
        <f t="shared" si="5"/>
      </c>
      <c r="L13" s="20">
        <f t="shared" si="5"/>
      </c>
      <c r="M13" s="75"/>
    </row>
    <row r="14" spans="1:13" s="3" customFormat="1" ht="11.25">
      <c r="A14" s="13" t="s">
        <v>70</v>
      </c>
      <c r="B14" s="12">
        <v>1</v>
      </c>
      <c r="C14" s="13">
        <v>0</v>
      </c>
      <c r="D14" s="13">
        <v>0</v>
      </c>
      <c r="E14" s="13">
        <v>0</v>
      </c>
      <c r="F14" s="13">
        <v>0</v>
      </c>
      <c r="G14" s="13">
        <v>0</v>
      </c>
      <c r="H14" s="13">
        <v>1</v>
      </c>
      <c r="I14" s="13">
        <v>0</v>
      </c>
      <c r="J14" s="13">
        <v>5</v>
      </c>
      <c r="K14" s="13">
        <v>0</v>
      </c>
      <c r="L14" s="13">
        <v>10</v>
      </c>
      <c r="M14" s="75"/>
    </row>
    <row r="15" spans="1:13" s="3" customFormat="1" ht="11.25">
      <c r="A15" s="8" t="s">
        <v>71</v>
      </c>
      <c r="B15" s="21">
        <f aca="true" t="shared" si="6" ref="B15:L15">IF(ISERR(B14/B4),0,B14/B4)</f>
        <v>1</v>
      </c>
      <c r="C15" s="22">
        <f t="shared" si="6"/>
        <v>0</v>
      </c>
      <c r="D15" s="22">
        <f t="shared" si="6"/>
        <v>0</v>
      </c>
      <c r="E15" s="22">
        <f t="shared" si="6"/>
        <v>0</v>
      </c>
      <c r="F15" s="22">
        <f t="shared" si="6"/>
        <v>0</v>
      </c>
      <c r="G15" s="22">
        <f t="shared" si="6"/>
        <v>0</v>
      </c>
      <c r="H15" s="22">
        <f t="shared" si="6"/>
        <v>1</v>
      </c>
      <c r="I15" s="22">
        <f t="shared" si="6"/>
        <v>0</v>
      </c>
      <c r="J15" s="22">
        <f t="shared" si="6"/>
        <v>1</v>
      </c>
      <c r="K15" s="22">
        <f t="shared" si="6"/>
        <v>0</v>
      </c>
      <c r="L15" s="22">
        <f t="shared" si="6"/>
        <v>0.8333333333333334</v>
      </c>
      <c r="M15" s="75"/>
    </row>
    <row r="16" spans="1:13" s="3" customFormat="1" ht="11.25">
      <c r="A16" s="8" t="s">
        <v>87</v>
      </c>
      <c r="B16" s="23">
        <f aca="true" t="shared" si="7" ref="B16:L16">B15*B6*B11</f>
        <v>1.499277387031506</v>
      </c>
      <c r="C16" s="24">
        <f t="shared" si="7"/>
        <v>0</v>
      </c>
      <c r="D16" s="24">
        <f t="shared" si="7"/>
        <v>0</v>
      </c>
      <c r="E16" s="24">
        <f t="shared" si="7"/>
        <v>0</v>
      </c>
      <c r="F16" s="24">
        <f t="shared" si="7"/>
        <v>0</v>
      </c>
      <c r="G16" s="24">
        <f t="shared" si="7"/>
        <v>0</v>
      </c>
      <c r="H16" s="24">
        <f t="shared" si="7"/>
        <v>73.19346757876481</v>
      </c>
      <c r="I16" s="24">
        <f t="shared" si="7"/>
        <v>0</v>
      </c>
      <c r="J16" s="24">
        <f t="shared" si="7"/>
        <v>29.942190962520474</v>
      </c>
      <c r="K16" s="24">
        <f t="shared" si="7"/>
        <v>0</v>
      </c>
      <c r="L16" s="24">
        <f t="shared" si="7"/>
        <v>5.99884381925041</v>
      </c>
      <c r="M16" s="76">
        <f>SUM(B16:L16)</f>
        <v>110.6337797475672</v>
      </c>
    </row>
    <row r="17" spans="1:13" s="3" customFormat="1" ht="11.25">
      <c r="A17" s="8"/>
      <c r="B17" s="25"/>
      <c r="C17" s="26"/>
      <c r="D17" s="26"/>
      <c r="E17" s="26"/>
      <c r="F17" s="26"/>
      <c r="G17" s="26"/>
      <c r="H17" s="26"/>
      <c r="I17" s="26"/>
      <c r="J17" s="26"/>
      <c r="K17" s="26"/>
      <c r="L17" s="26"/>
      <c r="M17" s="76"/>
    </row>
    <row r="18" spans="1:13" s="3" customFormat="1" ht="11.25">
      <c r="A18" s="66" t="s">
        <v>78</v>
      </c>
      <c r="B18" s="25"/>
      <c r="C18" s="26"/>
      <c r="D18" s="27"/>
      <c r="E18" s="27"/>
      <c r="F18" s="27"/>
      <c r="G18" s="27"/>
      <c r="H18" s="27"/>
      <c r="I18" s="27"/>
      <c r="J18" s="27"/>
      <c r="K18" s="27"/>
      <c r="L18" s="27"/>
      <c r="M18" s="76"/>
    </row>
    <row r="19" spans="1:13" s="3" customFormat="1" ht="11.25">
      <c r="A19" s="16" t="s">
        <v>72</v>
      </c>
      <c r="B19" s="25">
        <f>IF(B14&gt;0,B11*$B$54,0)</f>
        <v>0.4995015194630571</v>
      </c>
      <c r="C19" s="18">
        <f aca="true" t="shared" si="8" ref="C19:L19">IF(C14&gt;0,C11*$B$54,0)</f>
        <v>0</v>
      </c>
      <c r="D19" s="18">
        <f t="shared" si="8"/>
        <v>0</v>
      </c>
      <c r="E19" s="18">
        <f t="shared" si="8"/>
        <v>0</v>
      </c>
      <c r="F19" s="18">
        <f t="shared" si="8"/>
        <v>0</v>
      </c>
      <c r="G19" s="18">
        <f t="shared" si="8"/>
        <v>0</v>
      </c>
      <c r="H19" s="18">
        <f t="shared" si="8"/>
        <v>0.4877049248738486</v>
      </c>
      <c r="I19" s="18">
        <f t="shared" si="8"/>
        <v>0</v>
      </c>
      <c r="J19" s="18">
        <f t="shared" si="8"/>
        <v>0.49877927897800356</v>
      </c>
      <c r="K19" s="18">
        <f t="shared" si="8"/>
        <v>0</v>
      </c>
      <c r="L19" s="18">
        <f t="shared" si="8"/>
        <v>0.49964596756006785</v>
      </c>
      <c r="M19" s="76"/>
    </row>
    <row r="20" spans="1:13" s="3" customFormat="1" ht="11.25">
      <c r="A20" s="16" t="s">
        <v>10</v>
      </c>
      <c r="B20" s="28">
        <f aca="true" t="shared" si="9" ref="B20:L20">B19*B16</f>
        <v>0.7488913329188391</v>
      </c>
      <c r="C20" s="29">
        <f t="shared" si="9"/>
        <v>0</v>
      </c>
      <c r="D20" s="29">
        <f t="shared" si="9"/>
        <v>0</v>
      </c>
      <c r="E20" s="29">
        <f t="shared" si="9"/>
        <v>0</v>
      </c>
      <c r="F20" s="29">
        <f t="shared" si="9"/>
        <v>0</v>
      </c>
      <c r="G20" s="29">
        <f t="shared" si="9"/>
        <v>0</v>
      </c>
      <c r="H20" s="29">
        <f t="shared" si="9"/>
        <v>35.69681460675796</v>
      </c>
      <c r="I20" s="29">
        <f t="shared" si="9"/>
        <v>0</v>
      </c>
      <c r="J20" s="29">
        <f t="shared" si="9"/>
        <v>14.934544419307656</v>
      </c>
      <c r="K20" s="29">
        <f t="shared" si="9"/>
        <v>0</v>
      </c>
      <c r="L20" s="29">
        <f t="shared" si="9"/>
        <v>2.997298124311104</v>
      </c>
      <c r="M20" s="76">
        <f>SUM(B20:L20)</f>
        <v>54.377548483295556</v>
      </c>
    </row>
    <row r="21" spans="1:13" s="3" customFormat="1" ht="11.25">
      <c r="A21" s="16" t="s">
        <v>80</v>
      </c>
      <c r="B21" s="25">
        <f aca="true" t="shared" si="10" ref="B21:L21">B10</f>
        <v>0.00048174197899604975</v>
      </c>
      <c r="C21" s="27">
        <f t="shared" si="10"/>
        <v>0</v>
      </c>
      <c r="D21" s="27">
        <f t="shared" si="10"/>
        <v>0.9634839579920995</v>
      </c>
      <c r="E21" s="27">
        <f t="shared" si="10"/>
        <v>0</v>
      </c>
      <c r="F21" s="27">
        <f t="shared" si="10"/>
        <v>0</v>
      </c>
      <c r="G21" s="27">
        <f t="shared" si="10"/>
        <v>0</v>
      </c>
      <c r="H21" s="27">
        <f t="shared" si="10"/>
        <v>0.024087098949802488</v>
      </c>
      <c r="I21" s="27">
        <f t="shared" si="10"/>
        <v>0</v>
      </c>
      <c r="J21" s="27">
        <f t="shared" si="10"/>
        <v>0.0019269679159841988</v>
      </c>
      <c r="K21" s="27">
        <f t="shared" si="10"/>
        <v>0</v>
      </c>
      <c r="L21" s="27">
        <f t="shared" si="10"/>
        <v>0.00019269679159841988</v>
      </c>
      <c r="M21" s="76"/>
    </row>
    <row r="22" spans="1:13" s="3" customFormat="1" ht="11.25">
      <c r="A22" s="16" t="s">
        <v>11</v>
      </c>
      <c r="B22" s="28">
        <f aca="true" t="shared" si="11" ref="B22:L22">B21*B16</f>
        <v>0.0007222648554925841</v>
      </c>
      <c r="C22" s="29">
        <f t="shared" si="11"/>
        <v>0</v>
      </c>
      <c r="D22" s="29">
        <f t="shared" si="11"/>
        <v>0</v>
      </c>
      <c r="E22" s="29">
        <f t="shared" si="11"/>
        <v>0</v>
      </c>
      <c r="F22" s="29">
        <f t="shared" si="11"/>
        <v>0</v>
      </c>
      <c r="G22" s="29">
        <f t="shared" si="11"/>
        <v>0</v>
      </c>
      <c r="H22" s="29">
        <f t="shared" si="11"/>
        <v>1.7630182960488683</v>
      </c>
      <c r="I22" s="29">
        <f t="shared" si="11"/>
        <v>0</v>
      </c>
      <c r="J22" s="29">
        <f t="shared" si="11"/>
        <v>0.05769764131904899</v>
      </c>
      <c r="K22" s="29">
        <f t="shared" si="11"/>
        <v>0</v>
      </c>
      <c r="L22" s="29">
        <f t="shared" si="11"/>
        <v>0.0011559579572695655</v>
      </c>
      <c r="M22" s="76">
        <f>SUM(B22:L22)</f>
        <v>1.8225941601806794</v>
      </c>
    </row>
    <row r="23" spans="1:13" s="3" customFormat="1" ht="11.25">
      <c r="A23" s="16" t="s">
        <v>81</v>
      </c>
      <c r="B23" s="25">
        <f aca="true" t="shared" si="12" ref="B23:L24">B19+B21</f>
        <v>0.49998326144205313</v>
      </c>
      <c r="C23" s="27">
        <f t="shared" si="12"/>
        <v>0</v>
      </c>
      <c r="D23" s="27">
        <f t="shared" si="12"/>
        <v>0.9634839579920995</v>
      </c>
      <c r="E23" s="27">
        <f t="shared" si="12"/>
        <v>0</v>
      </c>
      <c r="F23" s="27">
        <f t="shared" si="12"/>
        <v>0</v>
      </c>
      <c r="G23" s="27">
        <f t="shared" si="12"/>
        <v>0</v>
      </c>
      <c r="H23" s="27">
        <f t="shared" si="12"/>
        <v>0.5117920238236511</v>
      </c>
      <c r="I23" s="27">
        <f t="shared" si="12"/>
        <v>0</v>
      </c>
      <c r="J23" s="27">
        <f t="shared" si="12"/>
        <v>0.5007062468939878</v>
      </c>
      <c r="K23" s="27">
        <f t="shared" si="12"/>
        <v>0</v>
      </c>
      <c r="L23" s="27">
        <f t="shared" si="12"/>
        <v>0.4998386643516663</v>
      </c>
      <c r="M23" s="76"/>
    </row>
    <row r="24" spans="1:13" s="3" customFormat="1" ht="11.25">
      <c r="A24" s="16" t="s">
        <v>12</v>
      </c>
      <c r="B24" s="28">
        <f t="shared" si="12"/>
        <v>0.7496135977743317</v>
      </c>
      <c r="C24" s="29">
        <f t="shared" si="12"/>
        <v>0</v>
      </c>
      <c r="D24" s="29">
        <f t="shared" si="12"/>
        <v>0</v>
      </c>
      <c r="E24" s="29">
        <f t="shared" si="12"/>
        <v>0</v>
      </c>
      <c r="F24" s="29">
        <f t="shared" si="12"/>
        <v>0</v>
      </c>
      <c r="G24" s="29">
        <f t="shared" si="12"/>
        <v>0</v>
      </c>
      <c r="H24" s="29">
        <f t="shared" si="12"/>
        <v>37.45983290280683</v>
      </c>
      <c r="I24" s="29">
        <f t="shared" si="12"/>
        <v>0</v>
      </c>
      <c r="J24" s="29">
        <f t="shared" si="12"/>
        <v>14.992242060626705</v>
      </c>
      <c r="K24" s="29">
        <f t="shared" si="12"/>
        <v>0</v>
      </c>
      <c r="L24" s="29">
        <f t="shared" si="12"/>
        <v>2.9984540822683736</v>
      </c>
      <c r="M24" s="76">
        <f>SUM(B24:L24)</f>
        <v>56.20014264347625</v>
      </c>
    </row>
    <row r="25" spans="1:13" s="3" customFormat="1" ht="11.25">
      <c r="A25" s="16" t="s">
        <v>86</v>
      </c>
      <c r="B25" s="25">
        <f aca="true" t="shared" si="13" ref="B25:L25">IF(B4&gt;0,100%-B23,B11)</f>
        <v>0.5000167385579468</v>
      </c>
      <c r="C25" s="27">
        <f t="shared" si="13"/>
        <v>0</v>
      </c>
      <c r="D25" s="27">
        <f t="shared" si="13"/>
        <v>0.036516042007900484</v>
      </c>
      <c r="E25" s="27">
        <f t="shared" si="13"/>
        <v>0</v>
      </c>
      <c r="F25" s="27">
        <f t="shared" si="13"/>
        <v>0</v>
      </c>
      <c r="G25" s="27">
        <f t="shared" si="13"/>
        <v>0</v>
      </c>
      <c r="H25" s="27">
        <f t="shared" si="13"/>
        <v>0.4882079761763489</v>
      </c>
      <c r="I25" s="27">
        <f t="shared" si="13"/>
        <v>0</v>
      </c>
      <c r="J25" s="27">
        <f t="shared" si="13"/>
        <v>0.4992937531060122</v>
      </c>
      <c r="K25" s="27">
        <f t="shared" si="13"/>
        <v>0</v>
      </c>
      <c r="L25" s="27">
        <f t="shared" si="13"/>
        <v>0.5001613356483336</v>
      </c>
      <c r="M25" s="76"/>
    </row>
    <row r="26" spans="1:13" s="3" customFormat="1" ht="11.25">
      <c r="A26" s="16" t="s">
        <v>13</v>
      </c>
      <c r="B26" s="28">
        <f aca="true" t="shared" si="14" ref="B26:L26">B25*B16</f>
        <v>0.7496637892571741</v>
      </c>
      <c r="C26" s="29">
        <f t="shared" si="14"/>
        <v>0</v>
      </c>
      <c r="D26" s="29">
        <f t="shared" si="14"/>
        <v>0</v>
      </c>
      <c r="E26" s="29">
        <f t="shared" si="14"/>
        <v>0</v>
      </c>
      <c r="F26" s="29">
        <f t="shared" si="14"/>
        <v>0</v>
      </c>
      <c r="G26" s="29">
        <f t="shared" si="14"/>
        <v>0</v>
      </c>
      <c r="H26" s="29">
        <f t="shared" si="14"/>
        <v>35.73363467595798</v>
      </c>
      <c r="I26" s="29">
        <f t="shared" si="14"/>
        <v>0</v>
      </c>
      <c r="J26" s="29">
        <f t="shared" si="14"/>
        <v>14.949948901893768</v>
      </c>
      <c r="K26" s="29">
        <f t="shared" si="14"/>
        <v>0</v>
      </c>
      <c r="L26" s="29">
        <f t="shared" si="14"/>
        <v>3.000389736982036</v>
      </c>
      <c r="M26" s="76">
        <f>SUM(B26:L26)</f>
        <v>54.43363710409096</v>
      </c>
    </row>
    <row r="27" spans="1:13" s="3" customFormat="1" ht="11.25">
      <c r="A27" s="16"/>
      <c r="B27" s="25"/>
      <c r="C27" s="26"/>
      <c r="D27" s="27"/>
      <c r="E27" s="27"/>
      <c r="F27" s="27"/>
      <c r="G27" s="27"/>
      <c r="H27" s="27"/>
      <c r="I27" s="27"/>
      <c r="J27" s="27"/>
      <c r="K27" s="27"/>
      <c r="L27" s="27"/>
      <c r="M27" s="75"/>
    </row>
    <row r="28" spans="1:13" s="3" customFormat="1" ht="11.25">
      <c r="A28" s="66" t="s">
        <v>82</v>
      </c>
      <c r="B28" s="25"/>
      <c r="C28" s="26"/>
      <c r="D28" s="27"/>
      <c r="E28" s="27"/>
      <c r="F28" s="27"/>
      <c r="G28" s="27"/>
      <c r="H28" s="27"/>
      <c r="I28" s="27"/>
      <c r="J28" s="27"/>
      <c r="K28" s="27"/>
      <c r="L28" s="27"/>
      <c r="M28" s="75"/>
    </row>
    <row r="29" spans="1:13" s="3" customFormat="1" ht="11.25">
      <c r="A29" s="16" t="s">
        <v>79</v>
      </c>
      <c r="B29" s="25">
        <f aca="true" t="shared" si="15" ref="B29:L29">B19*B9</f>
        <v>0.00024063085049766698</v>
      </c>
      <c r="C29" s="26">
        <f t="shared" si="15"/>
        <v>0</v>
      </c>
      <c r="D29" s="26">
        <f t="shared" si="15"/>
        <v>0</v>
      </c>
      <c r="E29" s="26">
        <f t="shared" si="15"/>
        <v>0</v>
      </c>
      <c r="F29" s="26">
        <f t="shared" si="15"/>
        <v>0</v>
      </c>
      <c r="G29" s="26">
        <f t="shared" si="15"/>
        <v>0</v>
      </c>
      <c r="H29" s="26">
        <f t="shared" si="15"/>
        <v>0.01174739678374238</v>
      </c>
      <c r="I29" s="26">
        <f t="shared" si="15"/>
        <v>0</v>
      </c>
      <c r="J29" s="26">
        <f t="shared" si="15"/>
        <v>0.0009611316677483448</v>
      </c>
      <c r="K29" s="26">
        <f t="shared" si="15"/>
        <v>0</v>
      </c>
      <c r="L29" s="26">
        <f t="shared" si="15"/>
        <v>9.628017488391325E-05</v>
      </c>
      <c r="M29" s="75"/>
    </row>
    <row r="30" spans="1:13" s="3" customFormat="1" ht="11.25">
      <c r="A30" s="16"/>
      <c r="B30" s="25"/>
      <c r="C30" s="26"/>
      <c r="D30" s="26"/>
      <c r="E30" s="26"/>
      <c r="F30" s="26"/>
      <c r="G30" s="26"/>
      <c r="H30" s="26"/>
      <c r="I30" s="26"/>
      <c r="J30" s="26"/>
      <c r="K30" s="26"/>
      <c r="L30" s="26"/>
      <c r="M30" s="75"/>
    </row>
    <row r="31" spans="1:13" s="3" customFormat="1" ht="11.25">
      <c r="A31" s="16" t="s">
        <v>84</v>
      </c>
      <c r="B31" s="28">
        <f>IF(B4*B14&gt;0,'ISP Models'!B$12*B11,0)</f>
        <v>1.499277387031506</v>
      </c>
      <c r="C31" s="29">
        <f>IF(C4*C14&gt;0,'ISP Models'!C$12*C11,0)</f>
        <v>0</v>
      </c>
      <c r="D31" s="29">
        <f>IF(D4*D14&gt;0,'ISP Models'!D$12*D11,0)</f>
        <v>0</v>
      </c>
      <c r="E31" s="29">
        <f>IF(E4*E14&gt;0,'ISP Models'!E$12*E11,0)</f>
        <v>0</v>
      </c>
      <c r="F31" s="29">
        <f>IF(F4*F14&gt;0,'ISP Models'!F$12*F11,0)</f>
        <v>0</v>
      </c>
      <c r="G31" s="29">
        <f>IF(G4*G14&gt;0,'ISP Models'!G$12*G11,0)</f>
        <v>0</v>
      </c>
      <c r="H31" s="29">
        <f>IF(H4*H14&gt;0,'ISP Models'!H$12*H11,0)</f>
        <v>73.19346757876481</v>
      </c>
      <c r="I31" s="29">
        <f>IF(I4*I14&gt;0,'ISP Models'!I$12*I11,0)</f>
        <v>0</v>
      </c>
      <c r="J31" s="29">
        <f>IF(J4*J14&gt;0,'ISP Models'!J$12*J11,0)</f>
        <v>5.988438192504095</v>
      </c>
      <c r="K31" s="29">
        <f>IF(K4*K14&gt;0,'ISP Models'!K$12*K11,0)</f>
        <v>0</v>
      </c>
      <c r="L31" s="29">
        <f>IF(L4*L14&gt;0,'ISP Models'!L$12*L11,0)</f>
        <v>0.5998843819250409</v>
      </c>
      <c r="M31" s="75"/>
    </row>
    <row r="32" spans="1:13" s="3" customFormat="1" ht="11.25">
      <c r="A32" s="16" t="s">
        <v>83</v>
      </c>
      <c r="B32" s="28">
        <f aca="true" t="shared" si="16" ref="B32:L32">B31-B24</f>
        <v>0.7496637892571743</v>
      </c>
      <c r="C32" s="29">
        <f t="shared" si="16"/>
        <v>0</v>
      </c>
      <c r="D32" s="29">
        <f t="shared" si="16"/>
        <v>0</v>
      </c>
      <c r="E32" s="29">
        <f t="shared" si="16"/>
        <v>0</v>
      </c>
      <c r="F32" s="29">
        <f t="shared" si="16"/>
        <v>0</v>
      </c>
      <c r="G32" s="29">
        <f t="shared" si="16"/>
        <v>0</v>
      </c>
      <c r="H32" s="29">
        <f t="shared" si="16"/>
        <v>35.73363467595798</v>
      </c>
      <c r="I32" s="29">
        <f t="shared" si="16"/>
        <v>0</v>
      </c>
      <c r="J32" s="29">
        <f t="shared" si="16"/>
        <v>-9.00380386812261</v>
      </c>
      <c r="K32" s="29">
        <f t="shared" si="16"/>
        <v>0</v>
      </c>
      <c r="L32" s="29">
        <f t="shared" si="16"/>
        <v>-2.398569700343333</v>
      </c>
      <c r="M32" s="75"/>
    </row>
    <row r="33" spans="1:13" s="3" customFormat="1" ht="12" thickBot="1">
      <c r="A33" s="16"/>
      <c r="B33" s="30"/>
      <c r="C33" s="31"/>
      <c r="D33" s="31"/>
      <c r="E33" s="31"/>
      <c r="F33" s="31"/>
      <c r="G33" s="31"/>
      <c r="H33" s="31"/>
      <c r="I33" s="31"/>
      <c r="J33" s="31"/>
      <c r="K33" s="31"/>
      <c r="L33" s="31"/>
      <c r="M33" s="75"/>
    </row>
    <row r="34" spans="1:13" s="3" customFormat="1" ht="12" thickTop="1">
      <c r="A34" s="16" t="s">
        <v>16</v>
      </c>
      <c r="B34" s="23">
        <f aca="true" t="shared" si="17" ref="B34:L34">B31-B32</f>
        <v>0.7496135977743317</v>
      </c>
      <c r="C34" s="24">
        <f t="shared" si="17"/>
        <v>0</v>
      </c>
      <c r="D34" s="24">
        <f t="shared" si="17"/>
        <v>0</v>
      </c>
      <c r="E34" s="24">
        <f t="shared" si="17"/>
        <v>0</v>
      </c>
      <c r="F34" s="24">
        <f t="shared" si="17"/>
        <v>0</v>
      </c>
      <c r="G34" s="24">
        <f t="shared" si="17"/>
        <v>0</v>
      </c>
      <c r="H34" s="24">
        <f t="shared" si="17"/>
        <v>37.45983290280683</v>
      </c>
      <c r="I34" s="24">
        <f t="shared" si="17"/>
        <v>0</v>
      </c>
      <c r="J34" s="24">
        <f t="shared" si="17"/>
        <v>14.992242060626705</v>
      </c>
      <c r="K34" s="24">
        <f t="shared" si="17"/>
        <v>0</v>
      </c>
      <c r="L34" s="24">
        <f t="shared" si="17"/>
        <v>2.9984540822683736</v>
      </c>
      <c r="M34" s="75"/>
    </row>
    <row r="35" spans="1:13" s="3" customFormat="1" ht="11.25">
      <c r="A35" s="16" t="s">
        <v>88</v>
      </c>
      <c r="B35" s="32">
        <f aca="true" t="shared" si="18" ref="B35:L35">B34/B2</f>
        <v>0.14992271955486633</v>
      </c>
      <c r="C35" s="33">
        <f t="shared" si="18"/>
        <v>0</v>
      </c>
      <c r="D35" s="33">
        <f t="shared" si="18"/>
        <v>0</v>
      </c>
      <c r="E35" s="33">
        <f t="shared" si="18"/>
        <v>0</v>
      </c>
      <c r="F35" s="33">
        <f t="shared" si="18"/>
        <v>0</v>
      </c>
      <c r="G35" s="33">
        <f t="shared" si="18"/>
        <v>0</v>
      </c>
      <c r="H35" s="33">
        <f t="shared" si="18"/>
        <v>0.1498393316112273</v>
      </c>
      <c r="I35" s="33">
        <f t="shared" si="18"/>
        <v>0</v>
      </c>
      <c r="J35" s="33">
        <f t="shared" si="18"/>
        <v>0.7496121030313352</v>
      </c>
      <c r="K35" s="33">
        <f t="shared" si="18"/>
        <v>0</v>
      </c>
      <c r="L35" s="33">
        <f t="shared" si="18"/>
        <v>1.4992270411341868</v>
      </c>
      <c r="M35" s="75"/>
    </row>
    <row r="36" spans="1:13" s="3" customFormat="1" ht="11.25">
      <c r="A36" s="16" t="s">
        <v>0</v>
      </c>
      <c r="B36" s="34">
        <f>B34*'ISP Models'!B$6*12</f>
        <v>23387.944250559147</v>
      </c>
      <c r="C36" s="35">
        <f>C34*'ISP Models'!C$6*12</f>
        <v>0</v>
      </c>
      <c r="D36" s="35">
        <f>D34*'ISP Models'!D$6*12</f>
        <v>0</v>
      </c>
      <c r="E36" s="35">
        <f>E34*'ISP Models'!E$6*12</f>
        <v>0</v>
      </c>
      <c r="F36" s="35">
        <f>F34*'ISP Models'!F$6*12</f>
        <v>0</v>
      </c>
      <c r="G36" s="35">
        <f>G34*'ISP Models'!G$6*12</f>
        <v>0</v>
      </c>
      <c r="H36" s="35">
        <f>H34*'ISP Models'!H$6*12</f>
        <v>1168746.7865675732</v>
      </c>
      <c r="I36" s="35">
        <f>I34*'ISP Models'!I$6*12</f>
        <v>0</v>
      </c>
      <c r="J36" s="35">
        <f>J34*'ISP Models'!J$6*12</f>
        <v>467757.95229155314</v>
      </c>
      <c r="K36" s="35">
        <f>K34*'ISP Models'!K$6*12</f>
        <v>0</v>
      </c>
      <c r="L36" s="35">
        <f>L34*'ISP Models'!L$6*12</f>
        <v>93551.76736677325</v>
      </c>
      <c r="M36" s="75"/>
    </row>
    <row r="37" spans="1:13" s="3" customFormat="1" ht="11.25">
      <c r="A37" s="16"/>
      <c r="B37" s="34"/>
      <c r="C37" s="35"/>
      <c r="D37" s="35"/>
      <c r="E37" s="35"/>
      <c r="F37" s="35"/>
      <c r="G37" s="35"/>
      <c r="H37" s="35"/>
      <c r="I37" s="35"/>
      <c r="J37" s="35"/>
      <c r="K37" s="35"/>
      <c r="L37" s="35"/>
      <c r="M37" s="75"/>
    </row>
    <row r="38" spans="1:13" s="3" customFormat="1" ht="11.25">
      <c r="A38" s="16" t="s">
        <v>18</v>
      </c>
      <c r="B38" s="36">
        <f>ROUNDUP(B34/'ISP Models'!$B$25,0)</f>
        <v>12</v>
      </c>
      <c r="C38" s="37">
        <f>ROUNDUP(C34/'ISP Models'!$B$25,0)</f>
        <v>0</v>
      </c>
      <c r="D38" s="38">
        <f>ROUNDUP(D34/'ISP Models'!$B$25,0)</f>
        <v>0</v>
      </c>
      <c r="E38" s="38">
        <f>ROUNDUP(E34/'ISP Models'!$B$25,0)</f>
        <v>0</v>
      </c>
      <c r="F38" s="38">
        <f>ROUNDUP(F34/'ISP Models'!$B$25,0)</f>
        <v>0</v>
      </c>
      <c r="G38" s="38">
        <f>ROUNDUP(G34/'ISP Models'!$B$25,0)</f>
        <v>0</v>
      </c>
      <c r="H38" s="38">
        <f>ROUNDUP(H34/'ISP Models'!$B$25,0)</f>
        <v>586</v>
      </c>
      <c r="I38" s="38">
        <f>ROUNDUP(I34/'ISP Models'!$B$25,0)</f>
        <v>0</v>
      </c>
      <c r="J38" s="38">
        <f>ROUNDUP(J34/'ISP Models'!$B$25,0)</f>
        <v>235</v>
      </c>
      <c r="K38" s="38">
        <f>ROUNDUP(K34/'ISP Models'!$B$25,0)</f>
        <v>0</v>
      </c>
      <c r="L38" s="38">
        <f>ROUNDUP(L34/'ISP Models'!$B$25,0)</f>
        <v>47</v>
      </c>
      <c r="M38" s="75"/>
    </row>
    <row r="39" spans="1:13" s="3" customFormat="1" ht="11.25">
      <c r="A39" s="16" t="s">
        <v>19</v>
      </c>
      <c r="B39" s="39">
        <f>B38*'ISP Models'!$B$25</f>
        <v>0.768</v>
      </c>
      <c r="C39" s="40">
        <f>C38*'ISP Models'!$B$25</f>
        <v>0</v>
      </c>
      <c r="D39" s="41">
        <f>D38*'ISP Models'!$B$25</f>
        <v>0</v>
      </c>
      <c r="E39" s="41">
        <f>E38*'ISP Models'!$B$25</f>
        <v>0</v>
      </c>
      <c r="F39" s="41">
        <f>F38*'ISP Models'!$B$25</f>
        <v>0</v>
      </c>
      <c r="G39" s="41">
        <f>G38*'ISP Models'!$B$25</f>
        <v>0</v>
      </c>
      <c r="H39" s="41">
        <f>H38*'ISP Models'!$B$25</f>
        <v>37.504</v>
      </c>
      <c r="I39" s="41">
        <f>I38*'ISP Models'!$B$25</f>
        <v>0</v>
      </c>
      <c r="J39" s="41">
        <f>J38*'ISP Models'!$B$25</f>
        <v>15.040000000000001</v>
      </c>
      <c r="K39" s="41">
        <f>K38*'ISP Models'!$B$25</f>
        <v>0</v>
      </c>
      <c r="L39" s="41">
        <f>L38*'ISP Models'!$B$25</f>
        <v>3.008</v>
      </c>
      <c r="M39" s="75"/>
    </row>
    <row r="40" spans="1:13" s="3" customFormat="1" ht="11.25">
      <c r="A40" s="16" t="s">
        <v>20</v>
      </c>
      <c r="B40" s="39">
        <f aca="true" t="shared" si="19" ref="B40:L40">B39-B34</f>
        <v>0.01838640222566834</v>
      </c>
      <c r="C40" s="40">
        <f t="shared" si="19"/>
        <v>0</v>
      </c>
      <c r="D40" s="41">
        <f t="shared" si="19"/>
        <v>0</v>
      </c>
      <c r="E40" s="41">
        <f t="shared" si="19"/>
        <v>0</v>
      </c>
      <c r="F40" s="41">
        <f t="shared" si="19"/>
        <v>0</v>
      </c>
      <c r="G40" s="41">
        <f t="shared" si="19"/>
        <v>0</v>
      </c>
      <c r="H40" s="41">
        <f t="shared" si="19"/>
        <v>0.04416709719316714</v>
      </c>
      <c r="I40" s="41">
        <f t="shared" si="19"/>
        <v>0</v>
      </c>
      <c r="J40" s="41">
        <f t="shared" si="19"/>
        <v>0.04775793937329631</v>
      </c>
      <c r="K40" s="41">
        <f t="shared" si="19"/>
        <v>0</v>
      </c>
      <c r="L40" s="41">
        <f t="shared" si="19"/>
        <v>0.009545917731626385</v>
      </c>
      <c r="M40" s="75"/>
    </row>
    <row r="41" spans="1:13" s="3" customFormat="1" ht="11.25">
      <c r="A41" s="16" t="s">
        <v>1</v>
      </c>
      <c r="B41" s="34">
        <f>B39*'ISP Models'!B$15*12</f>
        <v>9216</v>
      </c>
      <c r="C41" s="42">
        <f>C39*'ISP Models'!C$15*12</f>
        <v>0</v>
      </c>
      <c r="D41" s="43">
        <f>D39*'ISP Models'!D$15*12</f>
        <v>0</v>
      </c>
      <c r="E41" s="43">
        <f>E39*'ISP Models'!E$15*12</f>
        <v>0</v>
      </c>
      <c r="F41" s="43">
        <f>F39*'ISP Models'!F$15*12</f>
        <v>0</v>
      </c>
      <c r="G41" s="43">
        <f>G39*'ISP Models'!G$15*12</f>
        <v>0</v>
      </c>
      <c r="H41" s="43">
        <f>H39*'ISP Models'!H$15*12</f>
        <v>450048</v>
      </c>
      <c r="I41" s="43">
        <f>I39*'ISP Models'!I$15*12</f>
        <v>0</v>
      </c>
      <c r="J41" s="43">
        <f>J39*'ISP Models'!J$15*12</f>
        <v>180480.00000000003</v>
      </c>
      <c r="K41" s="43">
        <f>K39*'ISP Models'!K$15*12</f>
        <v>0</v>
      </c>
      <c r="L41" s="43">
        <f>L39*'ISP Models'!L$15*12</f>
        <v>36096</v>
      </c>
      <c r="M41" s="75"/>
    </row>
    <row r="42" spans="1:13" s="3" customFormat="1" ht="11.25">
      <c r="A42" s="16" t="s">
        <v>2</v>
      </c>
      <c r="B42" s="34">
        <f>IF(B14&gt;0,'ISP Models'!$B$26,0)</f>
        <v>1000</v>
      </c>
      <c r="C42" s="42">
        <f>IF(C14&gt;0,'ISP Models'!$B$26,0)</f>
        <v>0</v>
      </c>
      <c r="D42" s="43">
        <f>IF(D14&gt;0,'ISP Models'!$B$26,0)</f>
        <v>0</v>
      </c>
      <c r="E42" s="43">
        <f>IF(E14&gt;0,'ISP Models'!$B$26,0)</f>
        <v>0</v>
      </c>
      <c r="F42" s="43">
        <f>IF(F14&gt;0,'ISP Models'!$B$26,0)</f>
        <v>0</v>
      </c>
      <c r="G42" s="43">
        <f>IF(G14&gt;0,'ISP Models'!$B$26,0)</f>
        <v>0</v>
      </c>
      <c r="H42" s="43">
        <f>IF(H14&gt;0,'ISP Models'!$B$26,0)</f>
        <v>1000</v>
      </c>
      <c r="I42" s="43">
        <f>IF(I14&gt;0,'ISP Models'!$B$26,0)</f>
        <v>0</v>
      </c>
      <c r="J42" s="43">
        <f>IF(J14&gt;0,'ISP Models'!$B$26,0)</f>
        <v>1000</v>
      </c>
      <c r="K42" s="43">
        <f>IF(K14&gt;0,'ISP Models'!$B$26,0)</f>
        <v>0</v>
      </c>
      <c r="L42" s="43">
        <f>IF(L14&gt;0,'ISP Models'!$B$26,0)</f>
        <v>1000</v>
      </c>
      <c r="M42" s="75"/>
    </row>
    <row r="43" spans="1:13" s="3" customFormat="1" ht="12" thickBot="1">
      <c r="A43" s="16"/>
      <c r="B43" s="44"/>
      <c r="C43" s="45"/>
      <c r="D43" s="45"/>
      <c r="E43" s="45"/>
      <c r="F43" s="45"/>
      <c r="G43" s="45"/>
      <c r="H43" s="45"/>
      <c r="I43" s="45"/>
      <c r="J43" s="45"/>
      <c r="K43" s="45"/>
      <c r="L43" s="46"/>
      <c r="M43" s="75"/>
    </row>
    <row r="44" spans="1:13" s="3" customFormat="1" ht="12" thickTop="1">
      <c r="A44" s="16" t="s">
        <v>9</v>
      </c>
      <c r="B44" s="34">
        <f aca="true" t="shared" si="20" ref="B44:L44">B36-(B41+B42)</f>
        <v>13171.944250559147</v>
      </c>
      <c r="C44" s="43">
        <f t="shared" si="20"/>
        <v>0</v>
      </c>
      <c r="D44" s="43">
        <f t="shared" si="20"/>
        <v>0</v>
      </c>
      <c r="E44" s="43">
        <f t="shared" si="20"/>
        <v>0</v>
      </c>
      <c r="F44" s="43">
        <f t="shared" si="20"/>
        <v>0</v>
      </c>
      <c r="G44" s="43">
        <f t="shared" si="20"/>
        <v>0</v>
      </c>
      <c r="H44" s="43">
        <f t="shared" si="20"/>
        <v>717698.7865675732</v>
      </c>
      <c r="I44" s="43">
        <f t="shared" si="20"/>
        <v>0</v>
      </c>
      <c r="J44" s="43">
        <f t="shared" si="20"/>
        <v>286277.95229155314</v>
      </c>
      <c r="K44" s="43">
        <f t="shared" si="20"/>
        <v>0</v>
      </c>
      <c r="L44" s="43">
        <f t="shared" si="20"/>
        <v>56455.767366773245</v>
      </c>
      <c r="M44" s="75"/>
    </row>
    <row r="45" spans="1:13" s="3" customFormat="1" ht="11.25">
      <c r="A45" s="16"/>
      <c r="B45" s="25"/>
      <c r="C45" s="26"/>
      <c r="D45" s="26"/>
      <c r="E45" s="26"/>
      <c r="F45" s="26"/>
      <c r="G45" s="26"/>
      <c r="H45" s="26"/>
      <c r="I45" s="26"/>
      <c r="J45" s="26"/>
      <c r="K45" s="26"/>
      <c r="L45" s="26"/>
      <c r="M45" s="75"/>
    </row>
    <row r="46" spans="1:13" s="3" customFormat="1" ht="11.25">
      <c r="A46" s="16" t="s">
        <v>17</v>
      </c>
      <c r="B46" s="28">
        <f aca="true" t="shared" si="21" ref="B46:L46">B34*B$14</f>
        <v>0.7496135977743317</v>
      </c>
      <c r="C46" s="29">
        <f t="shared" si="21"/>
        <v>0</v>
      </c>
      <c r="D46" s="29">
        <f t="shared" si="21"/>
        <v>0</v>
      </c>
      <c r="E46" s="29">
        <f t="shared" si="21"/>
        <v>0</v>
      </c>
      <c r="F46" s="29">
        <f t="shared" si="21"/>
        <v>0</v>
      </c>
      <c r="G46" s="29">
        <f t="shared" si="21"/>
        <v>0</v>
      </c>
      <c r="H46" s="29">
        <f t="shared" si="21"/>
        <v>37.45983290280683</v>
      </c>
      <c r="I46" s="29">
        <f t="shared" si="21"/>
        <v>0</v>
      </c>
      <c r="J46" s="29">
        <f t="shared" si="21"/>
        <v>74.96121030313353</v>
      </c>
      <c r="K46" s="29">
        <f t="shared" si="21"/>
        <v>0</v>
      </c>
      <c r="L46" s="29">
        <f t="shared" si="21"/>
        <v>29.984540822683737</v>
      </c>
      <c r="M46" s="75"/>
    </row>
    <row r="47" spans="1:13" s="3" customFormat="1" ht="11.25">
      <c r="A47" s="16" t="s">
        <v>89</v>
      </c>
      <c r="B47" s="34">
        <f aca="true" t="shared" si="22" ref="B47:L47">B36*B$14</f>
        <v>23387.944250559147</v>
      </c>
      <c r="C47" s="43">
        <f t="shared" si="22"/>
        <v>0</v>
      </c>
      <c r="D47" s="43">
        <f t="shared" si="22"/>
        <v>0</v>
      </c>
      <c r="E47" s="43">
        <f t="shared" si="22"/>
        <v>0</v>
      </c>
      <c r="F47" s="43">
        <f t="shared" si="22"/>
        <v>0</v>
      </c>
      <c r="G47" s="43">
        <f t="shared" si="22"/>
        <v>0</v>
      </c>
      <c r="H47" s="43">
        <f t="shared" si="22"/>
        <v>1168746.7865675732</v>
      </c>
      <c r="I47" s="43">
        <f t="shared" si="22"/>
        <v>0</v>
      </c>
      <c r="J47" s="43">
        <f t="shared" si="22"/>
        <v>2338789.7614577655</v>
      </c>
      <c r="K47" s="43">
        <f t="shared" si="22"/>
        <v>0</v>
      </c>
      <c r="L47" s="43">
        <f t="shared" si="22"/>
        <v>935517.6736677324</v>
      </c>
      <c r="M47" s="75"/>
    </row>
    <row r="48" spans="1:13" s="3" customFormat="1" ht="11.25">
      <c r="A48" s="16" t="s">
        <v>14</v>
      </c>
      <c r="B48" s="34">
        <f aca="true" t="shared" si="23" ref="B48:L48">B41*B14</f>
        <v>9216</v>
      </c>
      <c r="C48" s="35">
        <f t="shared" si="23"/>
        <v>0</v>
      </c>
      <c r="D48" s="35">
        <f t="shared" si="23"/>
        <v>0</v>
      </c>
      <c r="E48" s="35">
        <f t="shared" si="23"/>
        <v>0</v>
      </c>
      <c r="F48" s="35">
        <f t="shared" si="23"/>
        <v>0</v>
      </c>
      <c r="G48" s="35">
        <f t="shared" si="23"/>
        <v>0</v>
      </c>
      <c r="H48" s="35">
        <f t="shared" si="23"/>
        <v>450048</v>
      </c>
      <c r="I48" s="35">
        <f t="shared" si="23"/>
        <v>0</v>
      </c>
      <c r="J48" s="35">
        <f t="shared" si="23"/>
        <v>902400.0000000001</v>
      </c>
      <c r="K48" s="35">
        <f t="shared" si="23"/>
        <v>0</v>
      </c>
      <c r="L48" s="35">
        <f t="shared" si="23"/>
        <v>360960</v>
      </c>
      <c r="M48" s="75"/>
    </row>
    <row r="49" spans="1:13" s="3" customFormat="1" ht="11.25">
      <c r="A49" s="16" t="s">
        <v>15</v>
      </c>
      <c r="B49" s="34">
        <f aca="true" t="shared" si="24" ref="B49:L49">B42*B14</f>
        <v>1000</v>
      </c>
      <c r="C49" s="35">
        <f t="shared" si="24"/>
        <v>0</v>
      </c>
      <c r="D49" s="35">
        <f t="shared" si="24"/>
        <v>0</v>
      </c>
      <c r="E49" s="35">
        <f t="shared" si="24"/>
        <v>0</v>
      </c>
      <c r="F49" s="35">
        <f t="shared" si="24"/>
        <v>0</v>
      </c>
      <c r="G49" s="35">
        <f t="shared" si="24"/>
        <v>0</v>
      </c>
      <c r="H49" s="35">
        <f t="shared" si="24"/>
        <v>1000</v>
      </c>
      <c r="I49" s="35">
        <f t="shared" si="24"/>
        <v>0</v>
      </c>
      <c r="J49" s="35">
        <f t="shared" si="24"/>
        <v>5000</v>
      </c>
      <c r="K49" s="35">
        <f t="shared" si="24"/>
        <v>0</v>
      </c>
      <c r="L49" s="35">
        <f t="shared" si="24"/>
        <v>10000</v>
      </c>
      <c r="M49" s="75"/>
    </row>
    <row r="50" spans="1:13" s="3" customFormat="1" ht="12" thickBot="1">
      <c r="A50" s="16"/>
      <c r="B50" s="44"/>
      <c r="C50" s="45"/>
      <c r="D50" s="45"/>
      <c r="E50" s="45"/>
      <c r="F50" s="45"/>
      <c r="G50" s="45"/>
      <c r="H50" s="45"/>
      <c r="I50" s="45"/>
      <c r="J50" s="45"/>
      <c r="K50" s="45"/>
      <c r="L50" s="45"/>
      <c r="M50" s="75"/>
    </row>
    <row r="51" spans="1:13" s="3" customFormat="1" ht="12.75" thickBot="1" thickTop="1">
      <c r="A51" s="16" t="s">
        <v>9</v>
      </c>
      <c r="B51" s="47">
        <f aca="true" t="shared" si="25" ref="B51:L51">B47-(B48+B49)</f>
        <v>13171.944250559147</v>
      </c>
      <c r="C51" s="35">
        <f t="shared" si="25"/>
        <v>0</v>
      </c>
      <c r="D51" s="35">
        <f t="shared" si="25"/>
        <v>0</v>
      </c>
      <c r="E51" s="35">
        <f t="shared" si="25"/>
        <v>0</v>
      </c>
      <c r="F51" s="35">
        <f t="shared" si="25"/>
        <v>0</v>
      </c>
      <c r="G51" s="35">
        <f t="shared" si="25"/>
        <v>0</v>
      </c>
      <c r="H51" s="35">
        <f t="shared" si="25"/>
        <v>717698.7865675732</v>
      </c>
      <c r="I51" s="35">
        <f t="shared" si="25"/>
        <v>0</v>
      </c>
      <c r="J51" s="35">
        <f t="shared" si="25"/>
        <v>1431389.7614577655</v>
      </c>
      <c r="K51" s="35">
        <f t="shared" si="25"/>
        <v>0</v>
      </c>
      <c r="L51" s="35">
        <f t="shared" si="25"/>
        <v>564557.6736677324</v>
      </c>
      <c r="M51" s="11"/>
    </row>
    <row r="52" s="3" customFormat="1" ht="11.25">
      <c r="M52" s="11"/>
    </row>
    <row r="53" spans="1:2" s="3" customFormat="1" ht="11.25">
      <c r="A53" s="3" t="s">
        <v>73</v>
      </c>
      <c r="B53" s="48">
        <f>SUM(B16:L16)/SUM(B6:L6)</f>
        <v>0.03553129066627074</v>
      </c>
    </row>
    <row r="54" spans="1:2" s="3" customFormat="1" ht="11.25">
      <c r="A54" s="3" t="s">
        <v>21</v>
      </c>
      <c r="B54" s="48">
        <f>+SUM(B16:L16)/SUM(B12:L12)</f>
        <v>0.49974226629140833</v>
      </c>
    </row>
    <row r="55" s="3" customFormat="1" ht="11.25"/>
    <row r="56" spans="1:2" s="3" customFormat="1" ht="11.25">
      <c r="A56" s="3" t="s">
        <v>90</v>
      </c>
      <c r="B56" s="49">
        <f>SUM(B47:L47)</f>
        <v>4466442.16594363</v>
      </c>
    </row>
    <row r="57" s="3" customFormat="1" ht="11.25"/>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M56"/>
  <sheetViews>
    <sheetView workbookViewId="0" topLeftCell="A1">
      <selection activeCell="D2" sqref="D2"/>
    </sheetView>
  </sheetViews>
  <sheetFormatPr defaultColWidth="9.140625" defaultRowHeight="12.75"/>
  <cols>
    <col min="1" max="1" width="47.00390625" style="0" customWidth="1"/>
    <col min="2" max="2" width="8.7109375" style="0" customWidth="1"/>
    <col min="3" max="4" width="7.7109375" style="0" customWidth="1"/>
    <col min="5" max="6" width="7.28125" style="0" customWidth="1"/>
    <col min="7" max="7" width="8.28125" style="0" customWidth="1"/>
    <col min="8" max="9" width="7.28125" style="0" customWidth="1"/>
    <col min="10" max="10" width="8.7109375" style="0" customWidth="1"/>
    <col min="11" max="11" width="7.28125" style="0" customWidth="1"/>
    <col min="12" max="13" width="8.7109375" style="0" customWidth="1"/>
    <col min="14" max="16384" width="8.8515625" style="0" customWidth="1"/>
  </cols>
  <sheetData>
    <row r="1" spans="1:13" s="3" customFormat="1" ht="12" thickBot="1">
      <c r="A1" s="2" t="s">
        <v>93</v>
      </c>
      <c r="B1" s="69" t="s">
        <v>68</v>
      </c>
      <c r="C1" s="70" t="s">
        <v>60</v>
      </c>
      <c r="D1" s="70" t="s">
        <v>61</v>
      </c>
      <c r="E1" s="70" t="s">
        <v>62</v>
      </c>
      <c r="F1" s="71" t="s">
        <v>27</v>
      </c>
      <c r="G1" s="71" t="s">
        <v>28</v>
      </c>
      <c r="H1" s="71" t="s">
        <v>29</v>
      </c>
      <c r="I1" s="72" t="s">
        <v>30</v>
      </c>
      <c r="J1" s="72" t="s">
        <v>31</v>
      </c>
      <c r="K1" s="72" t="s">
        <v>32</v>
      </c>
      <c r="L1" s="72" t="s">
        <v>33</v>
      </c>
      <c r="M1" s="73" t="s">
        <v>69</v>
      </c>
    </row>
    <row r="2" spans="1:13" s="3" customFormat="1" ht="11.25">
      <c r="A2" s="8" t="s">
        <v>67</v>
      </c>
      <c r="B2" s="9">
        <f>'ISP Models'!$B$5</f>
        <v>5</v>
      </c>
      <c r="C2" s="10">
        <f>'ISP Models'!$C$5</f>
        <v>50000</v>
      </c>
      <c r="D2" s="10">
        <f>'ISP Models'!$D$5</f>
        <v>10000</v>
      </c>
      <c r="E2" s="10">
        <f>'ISP Models'!$E$5</f>
        <v>2500</v>
      </c>
      <c r="F2" s="10">
        <f>'ISP Models'!$F$5</f>
        <v>1000</v>
      </c>
      <c r="G2" s="10">
        <f>'ISP Models'!$G$5</f>
        <v>500</v>
      </c>
      <c r="H2" s="10">
        <f>'ISP Models'!$H$5</f>
        <v>250</v>
      </c>
      <c r="I2" s="10">
        <f>'ISP Models'!$I$5</f>
        <v>100</v>
      </c>
      <c r="J2" s="10">
        <f>'ISP Models'!$J$5</f>
        <v>20</v>
      </c>
      <c r="K2" s="10">
        <f>'ISP Models'!$K$5</f>
        <v>5</v>
      </c>
      <c r="L2" s="10">
        <f>'ISP Models'!$L$5</f>
        <v>2</v>
      </c>
      <c r="M2" s="74"/>
    </row>
    <row r="3" spans="1:13" s="3" customFormat="1" ht="11.25">
      <c r="A3" s="8"/>
      <c r="B3" s="9"/>
      <c r="M3" s="75"/>
    </row>
    <row r="4" spans="1:13" s="3" customFormat="1" ht="11.25">
      <c r="A4" s="78" t="s">
        <v>65</v>
      </c>
      <c r="B4" s="12">
        <v>1</v>
      </c>
      <c r="C4" s="13">
        <v>0</v>
      </c>
      <c r="D4" s="13">
        <v>0</v>
      </c>
      <c r="E4" s="13">
        <v>0</v>
      </c>
      <c r="F4" s="13">
        <v>0</v>
      </c>
      <c r="G4" s="13">
        <v>0</v>
      </c>
      <c r="H4" s="13">
        <v>0</v>
      </c>
      <c r="I4" s="13">
        <v>3</v>
      </c>
      <c r="J4" s="13">
        <v>5</v>
      </c>
      <c r="K4" s="13">
        <v>6</v>
      </c>
      <c r="L4" s="13">
        <v>10</v>
      </c>
      <c r="M4" s="75"/>
    </row>
    <row r="5" spans="1:13" s="3" customFormat="1" ht="11.25">
      <c r="A5" s="8" t="s">
        <v>23</v>
      </c>
      <c r="B5" s="67">
        <f>+B4*B2</f>
        <v>5</v>
      </c>
      <c r="C5" s="68">
        <f aca="true" t="shared" si="0" ref="C5:L5">+C4*C2</f>
        <v>0</v>
      </c>
      <c r="D5" s="68">
        <f t="shared" si="0"/>
        <v>0</v>
      </c>
      <c r="E5" s="68">
        <f t="shared" si="0"/>
        <v>0</v>
      </c>
      <c r="F5" s="68">
        <f t="shared" si="0"/>
        <v>0</v>
      </c>
      <c r="G5" s="68">
        <f t="shared" si="0"/>
        <v>0</v>
      </c>
      <c r="H5" s="68">
        <f t="shared" si="0"/>
        <v>0</v>
      </c>
      <c r="I5" s="68">
        <f t="shared" si="0"/>
        <v>300</v>
      </c>
      <c r="J5" s="68">
        <f t="shared" si="0"/>
        <v>100</v>
      </c>
      <c r="K5" s="68">
        <f t="shared" si="0"/>
        <v>30</v>
      </c>
      <c r="L5" s="68">
        <f t="shared" si="0"/>
        <v>20</v>
      </c>
      <c r="M5" s="76">
        <f>SUM(B5:L5)</f>
        <v>455</v>
      </c>
    </row>
    <row r="6" spans="1:13" s="3" customFormat="1" ht="11.25">
      <c r="A6" s="8" t="s">
        <v>85</v>
      </c>
      <c r="B6" s="67">
        <f>B4*B2*'ISP Models'!B$11</f>
        <v>1.5</v>
      </c>
      <c r="C6" s="68">
        <f>C4*C2*'ISP Models'!C$11</f>
        <v>0</v>
      </c>
      <c r="D6" s="68">
        <f>D4*D2*'ISP Models'!D$11</f>
        <v>0</v>
      </c>
      <c r="E6" s="68">
        <f>E4*E2*'ISP Models'!E$11</f>
        <v>0</v>
      </c>
      <c r="F6" s="68">
        <f>F4*F2*'ISP Models'!F$11</f>
        <v>0</v>
      </c>
      <c r="G6" s="68">
        <f>G4*G2*'ISP Models'!G$11</f>
        <v>0</v>
      </c>
      <c r="H6" s="68">
        <f>H4*H2*'ISP Models'!H$11</f>
        <v>0</v>
      </c>
      <c r="I6" s="68">
        <f>I4*I2*'ISP Models'!I$11</f>
        <v>90</v>
      </c>
      <c r="J6" s="68">
        <f>J4*J2*'ISP Models'!J$11</f>
        <v>30</v>
      </c>
      <c r="K6" s="68">
        <f>K4*K2*'ISP Models'!K$11</f>
        <v>9</v>
      </c>
      <c r="L6" s="68">
        <f>L4*L2*'ISP Models'!L$11</f>
        <v>6</v>
      </c>
      <c r="M6" s="76">
        <f>SUM(B6:L6)</f>
        <v>136.5</v>
      </c>
    </row>
    <row r="7" spans="1:13" s="3" customFormat="1" ht="11.25">
      <c r="A7" s="8"/>
      <c r="B7" s="14"/>
      <c r="C7" s="15"/>
      <c r="D7" s="15"/>
      <c r="E7" s="15"/>
      <c r="F7" s="15"/>
      <c r="G7" s="15"/>
      <c r="H7" s="15"/>
      <c r="I7" s="15"/>
      <c r="J7" s="15"/>
      <c r="K7" s="15"/>
      <c r="L7" s="15"/>
      <c r="M7" s="77"/>
    </row>
    <row r="8" spans="1:13" s="3" customFormat="1" ht="11.25">
      <c r="A8" s="66" t="s">
        <v>74</v>
      </c>
      <c r="B8" s="14"/>
      <c r="C8" s="15"/>
      <c r="D8" s="15"/>
      <c r="E8" s="15"/>
      <c r="F8" s="15"/>
      <c r="G8" s="15"/>
      <c r="H8" s="15"/>
      <c r="I8" s="15"/>
      <c r="J8" s="15"/>
      <c r="K8" s="15"/>
      <c r="L8" s="15"/>
      <c r="M8" s="77"/>
    </row>
    <row r="9" spans="1:13" s="3" customFormat="1" ht="11.25">
      <c r="A9" s="16" t="s">
        <v>75</v>
      </c>
      <c r="B9" s="17">
        <f aca="true" t="shared" si="1" ref="B9:L9">IF(B4&gt;0,B6/SUM($B$6:$L$6)/B4,0)</f>
        <v>0.01098901098901099</v>
      </c>
      <c r="C9" s="18">
        <f t="shared" si="1"/>
        <v>0</v>
      </c>
      <c r="D9" s="18">
        <f t="shared" si="1"/>
        <v>0</v>
      </c>
      <c r="E9" s="18">
        <f t="shared" si="1"/>
        <v>0</v>
      </c>
      <c r="F9" s="18">
        <f t="shared" si="1"/>
        <v>0</v>
      </c>
      <c r="G9" s="18">
        <f t="shared" si="1"/>
        <v>0</v>
      </c>
      <c r="H9" s="18">
        <f t="shared" si="1"/>
        <v>0</v>
      </c>
      <c r="I9" s="18">
        <f t="shared" si="1"/>
        <v>0.21978021978021978</v>
      </c>
      <c r="J9" s="18">
        <f t="shared" si="1"/>
        <v>0.04395604395604395</v>
      </c>
      <c r="K9" s="18">
        <f t="shared" si="1"/>
        <v>0.01098901098901099</v>
      </c>
      <c r="L9" s="18">
        <f t="shared" si="1"/>
        <v>0.004395604395604396</v>
      </c>
      <c r="M9" s="75"/>
    </row>
    <row r="10" spans="1:13" s="3" customFormat="1" ht="11.25">
      <c r="A10" s="16" t="s">
        <v>77</v>
      </c>
      <c r="B10" s="17">
        <f aca="true" t="shared" si="2" ref="B10:L10">B9</f>
        <v>0.01098901098901099</v>
      </c>
      <c r="C10" s="18">
        <f t="shared" si="2"/>
        <v>0</v>
      </c>
      <c r="D10" s="18">
        <f t="shared" si="2"/>
        <v>0</v>
      </c>
      <c r="E10" s="18">
        <f t="shared" si="2"/>
        <v>0</v>
      </c>
      <c r="F10" s="18">
        <f t="shared" si="2"/>
        <v>0</v>
      </c>
      <c r="G10" s="18">
        <f t="shared" si="2"/>
        <v>0</v>
      </c>
      <c r="H10" s="18">
        <f t="shared" si="2"/>
        <v>0</v>
      </c>
      <c r="I10" s="18">
        <f t="shared" si="2"/>
        <v>0.21978021978021978</v>
      </c>
      <c r="J10" s="18">
        <f t="shared" si="2"/>
        <v>0.04395604395604395</v>
      </c>
      <c r="K10" s="18">
        <f t="shared" si="2"/>
        <v>0.01098901098901099</v>
      </c>
      <c r="L10" s="18">
        <f t="shared" si="2"/>
        <v>0.004395604395604396</v>
      </c>
      <c r="M10" s="75"/>
    </row>
    <row r="11" spans="1:13" s="3" customFormat="1" ht="11.25">
      <c r="A11" s="16" t="s">
        <v>76</v>
      </c>
      <c r="B11" s="17">
        <f aca="true" t="shared" si="3" ref="B11:L11">IF(B4&gt;0,100%-B9,0)</f>
        <v>0.989010989010989</v>
      </c>
      <c r="C11" s="18">
        <f t="shared" si="3"/>
        <v>0</v>
      </c>
      <c r="D11" s="18">
        <f t="shared" si="3"/>
        <v>0</v>
      </c>
      <c r="E11" s="18">
        <f t="shared" si="3"/>
        <v>0</v>
      </c>
      <c r="F11" s="18">
        <f t="shared" si="3"/>
        <v>0</v>
      </c>
      <c r="G11" s="18">
        <f t="shared" si="3"/>
        <v>0</v>
      </c>
      <c r="H11" s="18">
        <f t="shared" si="3"/>
        <v>0</v>
      </c>
      <c r="I11" s="18">
        <f t="shared" si="3"/>
        <v>0.7802197802197802</v>
      </c>
      <c r="J11" s="18">
        <f t="shared" si="3"/>
        <v>0.9560439560439561</v>
      </c>
      <c r="K11" s="18">
        <f t="shared" si="3"/>
        <v>0.989010989010989</v>
      </c>
      <c r="L11" s="18">
        <f t="shared" si="3"/>
        <v>0.9956043956043956</v>
      </c>
      <c r="M11" s="75"/>
    </row>
    <row r="12" spans="1:13" s="3" customFormat="1" ht="11.25">
      <c r="A12" s="16" t="s">
        <v>22</v>
      </c>
      <c r="B12" s="67">
        <f aca="true" t="shared" si="4" ref="B12:L12">+B6*B11</f>
        <v>1.4835164835164836</v>
      </c>
      <c r="C12" s="68">
        <f t="shared" si="4"/>
        <v>0</v>
      </c>
      <c r="D12" s="68">
        <f t="shared" si="4"/>
        <v>0</v>
      </c>
      <c r="E12" s="68">
        <f t="shared" si="4"/>
        <v>0</v>
      </c>
      <c r="F12" s="68">
        <f t="shared" si="4"/>
        <v>0</v>
      </c>
      <c r="G12" s="68">
        <f t="shared" si="4"/>
        <v>0</v>
      </c>
      <c r="H12" s="68">
        <f t="shared" si="4"/>
        <v>0</v>
      </c>
      <c r="I12" s="68">
        <f t="shared" si="4"/>
        <v>70.21978021978022</v>
      </c>
      <c r="J12" s="68">
        <f t="shared" si="4"/>
        <v>28.681318681318682</v>
      </c>
      <c r="K12" s="68">
        <f t="shared" si="4"/>
        <v>8.901098901098901</v>
      </c>
      <c r="L12" s="68">
        <f t="shared" si="4"/>
        <v>5.973626373626374</v>
      </c>
      <c r="M12" s="76">
        <f>SUM(B12:L12)</f>
        <v>115.25934065934067</v>
      </c>
    </row>
    <row r="13" spans="1:13" s="3" customFormat="1" ht="11.25">
      <c r="A13" s="8"/>
      <c r="B13" s="19">
        <f aca="true" t="shared" si="5" ref="B13:L13">IF(B14&gt;B4,"ERROR","")</f>
      </c>
      <c r="C13" s="20">
        <f t="shared" si="5"/>
      </c>
      <c r="D13" s="20">
        <f t="shared" si="5"/>
      </c>
      <c r="E13" s="20">
        <f t="shared" si="5"/>
      </c>
      <c r="F13" s="20">
        <f t="shared" si="5"/>
      </c>
      <c r="G13" s="20">
        <f t="shared" si="5"/>
      </c>
      <c r="H13" s="20">
        <f t="shared" si="5"/>
      </c>
      <c r="I13" s="20">
        <f t="shared" si="5"/>
      </c>
      <c r="J13" s="20">
        <f t="shared" si="5"/>
      </c>
      <c r="K13" s="20">
        <f t="shared" si="5"/>
      </c>
      <c r="L13" s="20">
        <f t="shared" si="5"/>
      </c>
      <c r="M13" s="75"/>
    </row>
    <row r="14" spans="1:13" s="3" customFormat="1" ht="11.25">
      <c r="A14" s="13" t="s">
        <v>70</v>
      </c>
      <c r="B14" s="12">
        <v>1</v>
      </c>
      <c r="C14" s="13">
        <v>0</v>
      </c>
      <c r="D14" s="13">
        <v>0</v>
      </c>
      <c r="E14" s="13">
        <v>0</v>
      </c>
      <c r="F14" s="13">
        <v>0</v>
      </c>
      <c r="G14" s="13">
        <v>0</v>
      </c>
      <c r="H14" s="13">
        <v>0</v>
      </c>
      <c r="I14" s="13">
        <v>3</v>
      </c>
      <c r="J14" s="13">
        <v>5</v>
      </c>
      <c r="K14" s="13">
        <v>6</v>
      </c>
      <c r="L14" s="13">
        <v>10</v>
      </c>
      <c r="M14" s="75"/>
    </row>
    <row r="15" spans="1:13" s="3" customFormat="1" ht="11.25">
      <c r="A15" s="8" t="s">
        <v>71</v>
      </c>
      <c r="B15" s="21">
        <f aca="true" t="shared" si="6" ref="B15:L15">IF(ISERR(B14/B4),0,B14/B4)</f>
        <v>1</v>
      </c>
      <c r="C15" s="22">
        <f t="shared" si="6"/>
        <v>0</v>
      </c>
      <c r="D15" s="22">
        <f t="shared" si="6"/>
        <v>0</v>
      </c>
      <c r="E15" s="22">
        <f t="shared" si="6"/>
        <v>0</v>
      </c>
      <c r="F15" s="22">
        <f t="shared" si="6"/>
        <v>0</v>
      </c>
      <c r="G15" s="22">
        <f t="shared" si="6"/>
        <v>0</v>
      </c>
      <c r="H15" s="22">
        <f t="shared" si="6"/>
        <v>0</v>
      </c>
      <c r="I15" s="22">
        <f t="shared" si="6"/>
        <v>1</v>
      </c>
      <c r="J15" s="22">
        <f t="shared" si="6"/>
        <v>1</v>
      </c>
      <c r="K15" s="22">
        <f t="shared" si="6"/>
        <v>1</v>
      </c>
      <c r="L15" s="22">
        <f t="shared" si="6"/>
        <v>1</v>
      </c>
      <c r="M15" s="75"/>
    </row>
    <row r="16" spans="1:13" s="3" customFormat="1" ht="11.25">
      <c r="A16" s="8" t="s">
        <v>87</v>
      </c>
      <c r="B16" s="23">
        <f aca="true" t="shared" si="7" ref="B16:L16">B15*B6*B11</f>
        <v>1.4835164835164836</v>
      </c>
      <c r="C16" s="24">
        <f t="shared" si="7"/>
        <v>0</v>
      </c>
      <c r="D16" s="24">
        <f t="shared" si="7"/>
        <v>0</v>
      </c>
      <c r="E16" s="24">
        <f t="shared" si="7"/>
        <v>0</v>
      </c>
      <c r="F16" s="24">
        <f t="shared" si="7"/>
        <v>0</v>
      </c>
      <c r="G16" s="24">
        <f t="shared" si="7"/>
        <v>0</v>
      </c>
      <c r="H16" s="24">
        <f t="shared" si="7"/>
        <v>0</v>
      </c>
      <c r="I16" s="24">
        <f t="shared" si="7"/>
        <v>70.21978021978022</v>
      </c>
      <c r="J16" s="24">
        <f t="shared" si="7"/>
        <v>28.681318681318682</v>
      </c>
      <c r="K16" s="24">
        <f t="shared" si="7"/>
        <v>8.901098901098901</v>
      </c>
      <c r="L16" s="24">
        <f t="shared" si="7"/>
        <v>5.973626373626374</v>
      </c>
      <c r="M16" s="76">
        <f>SUM(B16:L16)</f>
        <v>115.25934065934067</v>
      </c>
    </row>
    <row r="17" spans="1:13" s="3" customFormat="1" ht="11.25">
      <c r="A17" s="8"/>
      <c r="B17" s="25"/>
      <c r="C17" s="26"/>
      <c r="D17" s="26"/>
      <c r="E17" s="26"/>
      <c r="F17" s="26"/>
      <c r="G17" s="26"/>
      <c r="H17" s="26"/>
      <c r="I17" s="26"/>
      <c r="J17" s="26"/>
      <c r="K17" s="26"/>
      <c r="L17" s="26"/>
      <c r="M17" s="76"/>
    </row>
    <row r="18" spans="1:13" s="3" customFormat="1" ht="11.25">
      <c r="A18" s="66" t="s">
        <v>78</v>
      </c>
      <c r="B18" s="25"/>
      <c r="C18" s="26"/>
      <c r="D18" s="27"/>
      <c r="E18" s="27"/>
      <c r="F18" s="27"/>
      <c r="G18" s="27"/>
      <c r="H18" s="27"/>
      <c r="I18" s="27"/>
      <c r="J18" s="27"/>
      <c r="K18" s="27"/>
      <c r="L18" s="27"/>
      <c r="M18" s="76"/>
    </row>
    <row r="19" spans="1:13" s="3" customFormat="1" ht="11.25">
      <c r="A19" s="16" t="s">
        <v>72</v>
      </c>
      <c r="B19" s="25">
        <f>IF(B14&gt;0,B11*$B$54,0)</f>
        <v>0.989010989010989</v>
      </c>
      <c r="C19" s="18">
        <f aca="true" t="shared" si="8" ref="C19:L19">IF(C14&gt;0,C11*$B$54,0)</f>
        <v>0</v>
      </c>
      <c r="D19" s="18">
        <f t="shared" si="8"/>
        <v>0</v>
      </c>
      <c r="E19" s="18">
        <f t="shared" si="8"/>
        <v>0</v>
      </c>
      <c r="F19" s="18">
        <f t="shared" si="8"/>
        <v>0</v>
      </c>
      <c r="G19" s="18">
        <f t="shared" si="8"/>
        <v>0</v>
      </c>
      <c r="H19" s="18">
        <f t="shared" si="8"/>
        <v>0</v>
      </c>
      <c r="I19" s="18">
        <f t="shared" si="8"/>
        <v>0.7802197802197802</v>
      </c>
      <c r="J19" s="18">
        <f t="shared" si="8"/>
        <v>0.9560439560439561</v>
      </c>
      <c r="K19" s="18">
        <f t="shared" si="8"/>
        <v>0.989010989010989</v>
      </c>
      <c r="L19" s="18">
        <f t="shared" si="8"/>
        <v>0.9956043956043956</v>
      </c>
      <c r="M19" s="76"/>
    </row>
    <row r="20" spans="1:13" s="3" customFormat="1" ht="11.25">
      <c r="A20" s="16" t="s">
        <v>10</v>
      </c>
      <c r="B20" s="28">
        <f aca="true" t="shared" si="9" ref="B20:L20">B19*B16</f>
        <v>1.467214104576742</v>
      </c>
      <c r="C20" s="29">
        <f t="shared" si="9"/>
        <v>0</v>
      </c>
      <c r="D20" s="29">
        <f t="shared" si="9"/>
        <v>0</v>
      </c>
      <c r="E20" s="29">
        <f t="shared" si="9"/>
        <v>0</v>
      </c>
      <c r="F20" s="29">
        <f t="shared" si="9"/>
        <v>0</v>
      </c>
      <c r="G20" s="29">
        <f t="shared" si="9"/>
        <v>0</v>
      </c>
      <c r="H20" s="29">
        <f t="shared" si="9"/>
        <v>0</v>
      </c>
      <c r="I20" s="29">
        <f t="shared" si="9"/>
        <v>54.786861490158195</v>
      </c>
      <c r="J20" s="29">
        <f t="shared" si="9"/>
        <v>27.420601376645337</v>
      </c>
      <c r="K20" s="29">
        <f t="shared" si="9"/>
        <v>8.803284627460453</v>
      </c>
      <c r="L20" s="29">
        <f t="shared" si="9"/>
        <v>5.947368675280764</v>
      </c>
      <c r="M20" s="76">
        <f>SUM(B20:L20)</f>
        <v>98.4253302741215</v>
      </c>
    </row>
    <row r="21" spans="1:13" s="3" customFormat="1" ht="11.25">
      <c r="A21" s="16" t="s">
        <v>80</v>
      </c>
      <c r="B21" s="25">
        <f aca="true" t="shared" si="10" ref="B21:L21">B10</f>
        <v>0.01098901098901099</v>
      </c>
      <c r="C21" s="27">
        <f t="shared" si="10"/>
        <v>0</v>
      </c>
      <c r="D21" s="27">
        <f t="shared" si="10"/>
        <v>0</v>
      </c>
      <c r="E21" s="27">
        <f t="shared" si="10"/>
        <v>0</v>
      </c>
      <c r="F21" s="27">
        <f t="shared" si="10"/>
        <v>0</v>
      </c>
      <c r="G21" s="27">
        <f t="shared" si="10"/>
        <v>0</v>
      </c>
      <c r="H21" s="27">
        <f t="shared" si="10"/>
        <v>0</v>
      </c>
      <c r="I21" s="27">
        <f t="shared" si="10"/>
        <v>0.21978021978021978</v>
      </c>
      <c r="J21" s="27">
        <f t="shared" si="10"/>
        <v>0.04395604395604395</v>
      </c>
      <c r="K21" s="27">
        <f t="shared" si="10"/>
        <v>0.01098901098901099</v>
      </c>
      <c r="L21" s="27">
        <f t="shared" si="10"/>
        <v>0.004395604395604396</v>
      </c>
      <c r="M21" s="76"/>
    </row>
    <row r="22" spans="1:13" s="3" customFormat="1" ht="11.25">
      <c r="A22" s="16" t="s">
        <v>11</v>
      </c>
      <c r="B22" s="28">
        <f aca="true" t="shared" si="11" ref="B22:L22">B21*B16</f>
        <v>0.01630237893974158</v>
      </c>
      <c r="C22" s="29">
        <f t="shared" si="11"/>
        <v>0</v>
      </c>
      <c r="D22" s="29">
        <f t="shared" si="11"/>
        <v>0</v>
      </c>
      <c r="E22" s="29">
        <f t="shared" si="11"/>
        <v>0</v>
      </c>
      <c r="F22" s="29">
        <f t="shared" si="11"/>
        <v>0</v>
      </c>
      <c r="G22" s="29">
        <f t="shared" si="11"/>
        <v>0</v>
      </c>
      <c r="H22" s="29">
        <f t="shared" si="11"/>
        <v>0</v>
      </c>
      <c r="I22" s="29">
        <f t="shared" si="11"/>
        <v>15.432918729622026</v>
      </c>
      <c r="J22" s="29">
        <f t="shared" si="11"/>
        <v>1.2607173046733486</v>
      </c>
      <c r="K22" s="29">
        <f t="shared" si="11"/>
        <v>0.09781427363844948</v>
      </c>
      <c r="L22" s="29">
        <f t="shared" si="11"/>
        <v>0.026257698345610436</v>
      </c>
      <c r="M22" s="76">
        <f>SUM(B22:L22)</f>
        <v>16.834010385219173</v>
      </c>
    </row>
    <row r="23" spans="1:13" s="3" customFormat="1" ht="11.25">
      <c r="A23" s="16" t="s">
        <v>81</v>
      </c>
      <c r="B23" s="25">
        <f aca="true" t="shared" si="12" ref="B23:L24">B19+B21</f>
        <v>1</v>
      </c>
      <c r="C23" s="27">
        <f t="shared" si="12"/>
        <v>0</v>
      </c>
      <c r="D23" s="27">
        <f t="shared" si="12"/>
        <v>0</v>
      </c>
      <c r="E23" s="27">
        <f t="shared" si="12"/>
        <v>0</v>
      </c>
      <c r="F23" s="27">
        <f t="shared" si="12"/>
        <v>0</v>
      </c>
      <c r="G23" s="27">
        <f t="shared" si="12"/>
        <v>0</v>
      </c>
      <c r="H23" s="27">
        <f t="shared" si="12"/>
        <v>0</v>
      </c>
      <c r="I23" s="27">
        <f t="shared" si="12"/>
        <v>1</v>
      </c>
      <c r="J23" s="27">
        <f t="shared" si="12"/>
        <v>1</v>
      </c>
      <c r="K23" s="27">
        <f t="shared" si="12"/>
        <v>1</v>
      </c>
      <c r="L23" s="27">
        <f t="shared" si="12"/>
        <v>1</v>
      </c>
      <c r="M23" s="76"/>
    </row>
    <row r="24" spans="1:13" s="3" customFormat="1" ht="11.25">
      <c r="A24" s="16" t="s">
        <v>12</v>
      </c>
      <c r="B24" s="28">
        <f t="shared" si="12"/>
        <v>1.4835164835164836</v>
      </c>
      <c r="C24" s="29">
        <f t="shared" si="12"/>
        <v>0</v>
      </c>
      <c r="D24" s="29">
        <f t="shared" si="12"/>
        <v>0</v>
      </c>
      <c r="E24" s="29">
        <f t="shared" si="12"/>
        <v>0</v>
      </c>
      <c r="F24" s="29">
        <f t="shared" si="12"/>
        <v>0</v>
      </c>
      <c r="G24" s="29">
        <f t="shared" si="12"/>
        <v>0</v>
      </c>
      <c r="H24" s="29">
        <f t="shared" si="12"/>
        <v>0</v>
      </c>
      <c r="I24" s="29">
        <f t="shared" si="12"/>
        <v>70.21978021978022</v>
      </c>
      <c r="J24" s="29">
        <f t="shared" si="12"/>
        <v>28.681318681318686</v>
      </c>
      <c r="K24" s="29">
        <f t="shared" si="12"/>
        <v>8.901098901098903</v>
      </c>
      <c r="L24" s="29">
        <f t="shared" si="12"/>
        <v>5.973626373626375</v>
      </c>
      <c r="M24" s="76">
        <f>SUM(B24:L24)</f>
        <v>115.25934065934067</v>
      </c>
    </row>
    <row r="25" spans="1:13" s="3" customFormat="1" ht="11.25">
      <c r="A25" s="16" t="s">
        <v>86</v>
      </c>
      <c r="B25" s="25">
        <f aca="true" t="shared" si="13" ref="B25:L25">IF(B4&gt;0,100%-B23,B11)</f>
        <v>0</v>
      </c>
      <c r="C25" s="27">
        <f t="shared" si="13"/>
        <v>0</v>
      </c>
      <c r="D25" s="27">
        <f t="shared" si="13"/>
        <v>0</v>
      </c>
      <c r="E25" s="27">
        <f t="shared" si="13"/>
        <v>0</v>
      </c>
      <c r="F25" s="27">
        <f t="shared" si="13"/>
        <v>0</v>
      </c>
      <c r="G25" s="27">
        <f t="shared" si="13"/>
        <v>0</v>
      </c>
      <c r="H25" s="27">
        <f t="shared" si="13"/>
        <v>0</v>
      </c>
      <c r="I25" s="27">
        <f t="shared" si="13"/>
        <v>0</v>
      </c>
      <c r="J25" s="27">
        <f t="shared" si="13"/>
        <v>0</v>
      </c>
      <c r="K25" s="27">
        <f t="shared" si="13"/>
        <v>0</v>
      </c>
      <c r="L25" s="27">
        <f t="shared" si="13"/>
        <v>0</v>
      </c>
      <c r="M25" s="76"/>
    </row>
    <row r="26" spans="1:13" s="3" customFormat="1" ht="11.25">
      <c r="A26" s="16" t="s">
        <v>13</v>
      </c>
      <c r="B26" s="28">
        <f aca="true" t="shared" si="14" ref="B26:L26">B25*B16</f>
        <v>0</v>
      </c>
      <c r="C26" s="29">
        <f t="shared" si="14"/>
        <v>0</v>
      </c>
      <c r="D26" s="29">
        <f t="shared" si="14"/>
        <v>0</v>
      </c>
      <c r="E26" s="29">
        <f t="shared" si="14"/>
        <v>0</v>
      </c>
      <c r="F26" s="29">
        <f t="shared" si="14"/>
        <v>0</v>
      </c>
      <c r="G26" s="29">
        <f t="shared" si="14"/>
        <v>0</v>
      </c>
      <c r="H26" s="29">
        <f t="shared" si="14"/>
        <v>0</v>
      </c>
      <c r="I26" s="29">
        <f t="shared" si="14"/>
        <v>0</v>
      </c>
      <c r="J26" s="29">
        <f t="shared" si="14"/>
        <v>0</v>
      </c>
      <c r="K26" s="29">
        <f t="shared" si="14"/>
        <v>0</v>
      </c>
      <c r="L26" s="29">
        <f t="shared" si="14"/>
        <v>0</v>
      </c>
      <c r="M26" s="76">
        <f>SUM(B26:L26)</f>
        <v>0</v>
      </c>
    </row>
    <row r="27" spans="1:13" s="3" customFormat="1" ht="11.25">
      <c r="A27" s="16"/>
      <c r="B27" s="25"/>
      <c r="C27" s="26"/>
      <c r="D27" s="27"/>
      <c r="E27" s="27"/>
      <c r="F27" s="27"/>
      <c r="G27" s="27"/>
      <c r="H27" s="27"/>
      <c r="I27" s="27"/>
      <c r="J27" s="27"/>
      <c r="K27" s="27"/>
      <c r="L27" s="27"/>
      <c r="M27" s="75"/>
    </row>
    <row r="28" spans="1:13" s="3" customFormat="1" ht="11.25">
      <c r="A28" s="66" t="s">
        <v>82</v>
      </c>
      <c r="B28" s="25"/>
      <c r="C28" s="26"/>
      <c r="D28" s="27"/>
      <c r="E28" s="27"/>
      <c r="F28" s="27"/>
      <c r="G28" s="27"/>
      <c r="H28" s="27"/>
      <c r="I28" s="27"/>
      <c r="J28" s="27"/>
      <c r="K28" s="27"/>
      <c r="L28" s="27"/>
      <c r="M28" s="75"/>
    </row>
    <row r="29" spans="1:13" s="3" customFormat="1" ht="11.25">
      <c r="A29" s="16" t="s">
        <v>79</v>
      </c>
      <c r="B29" s="25">
        <f aca="true" t="shared" si="15" ref="B29:L29">B19*B9</f>
        <v>0.010868252626494386</v>
      </c>
      <c r="C29" s="26">
        <f t="shared" si="15"/>
        <v>0</v>
      </c>
      <c r="D29" s="26">
        <f t="shared" si="15"/>
        <v>0</v>
      </c>
      <c r="E29" s="26">
        <f t="shared" si="15"/>
        <v>0</v>
      </c>
      <c r="F29" s="26">
        <f t="shared" si="15"/>
        <v>0</v>
      </c>
      <c r="G29" s="26">
        <f t="shared" si="15"/>
        <v>0</v>
      </c>
      <c r="H29" s="26">
        <f t="shared" si="15"/>
        <v>0</v>
      </c>
      <c r="I29" s="26">
        <f t="shared" si="15"/>
        <v>0.17147687477357806</v>
      </c>
      <c r="J29" s="26">
        <f t="shared" si="15"/>
        <v>0.042023910155778284</v>
      </c>
      <c r="K29" s="26">
        <f t="shared" si="15"/>
        <v>0.010868252626494386</v>
      </c>
      <c r="L29" s="26">
        <f t="shared" si="15"/>
        <v>0.004376283057601739</v>
      </c>
      <c r="M29" s="75"/>
    </row>
    <row r="30" spans="1:13" s="3" customFormat="1" ht="11.25">
      <c r="A30" s="16"/>
      <c r="B30" s="25"/>
      <c r="C30" s="26"/>
      <c r="D30" s="26"/>
      <c r="E30" s="26"/>
      <c r="F30" s="26"/>
      <c r="G30" s="26"/>
      <c r="H30" s="26"/>
      <c r="I30" s="26"/>
      <c r="J30" s="26"/>
      <c r="K30" s="26"/>
      <c r="L30" s="26"/>
      <c r="M30" s="75"/>
    </row>
    <row r="31" spans="1:13" s="3" customFormat="1" ht="11.25">
      <c r="A31" s="16" t="s">
        <v>84</v>
      </c>
      <c r="B31" s="28">
        <f>IF(B4*B14&gt;0,'ISP Models'!B$12*B11,0)</f>
        <v>1.4835164835164836</v>
      </c>
      <c r="C31" s="29">
        <f>IF(C4*C14&gt;0,'ISP Models'!C$12*C11,0)</f>
        <v>0</v>
      </c>
      <c r="D31" s="29">
        <f>IF(D4*D14&gt;0,'ISP Models'!D$12*D11,0)</f>
        <v>0</v>
      </c>
      <c r="E31" s="29">
        <f>IF(E4*E14&gt;0,'ISP Models'!E$12*E11,0)</f>
        <v>0</v>
      </c>
      <c r="F31" s="29">
        <f>IF(F4*F14&gt;0,'ISP Models'!F$12*F11,0)</f>
        <v>0</v>
      </c>
      <c r="G31" s="29">
        <f>IF(G4*G14&gt;0,'ISP Models'!G$12*G11,0)</f>
        <v>0</v>
      </c>
      <c r="H31" s="29">
        <f>IF(H4*H14&gt;0,'ISP Models'!H$12*H11,0)</f>
        <v>0</v>
      </c>
      <c r="I31" s="29">
        <f>IF(I4*I14&gt;0,'ISP Models'!I$12*I11,0)</f>
        <v>23.406593406593405</v>
      </c>
      <c r="J31" s="29">
        <f>IF(J4*J14&gt;0,'ISP Models'!J$12*J11,0)</f>
        <v>5.736263736263736</v>
      </c>
      <c r="K31" s="29">
        <f>IF(K4*K14&gt;0,'ISP Models'!K$12*K11,0)</f>
        <v>1.4835164835164836</v>
      </c>
      <c r="L31" s="29">
        <f>IF(L4*L14&gt;0,'ISP Models'!L$12*L11,0)</f>
        <v>0.5973626373626374</v>
      </c>
      <c r="M31" s="75"/>
    </row>
    <row r="32" spans="1:13" s="3" customFormat="1" ht="11.25">
      <c r="A32" s="16" t="s">
        <v>83</v>
      </c>
      <c r="B32" s="28">
        <f aca="true" t="shared" si="16" ref="B32:L32">B31-B24</f>
        <v>0</v>
      </c>
      <c r="C32" s="29">
        <f t="shared" si="16"/>
        <v>0</v>
      </c>
      <c r="D32" s="29">
        <f t="shared" si="16"/>
        <v>0</v>
      </c>
      <c r="E32" s="29">
        <f t="shared" si="16"/>
        <v>0</v>
      </c>
      <c r="F32" s="29">
        <f t="shared" si="16"/>
        <v>0</v>
      </c>
      <c r="G32" s="29">
        <f t="shared" si="16"/>
        <v>0</v>
      </c>
      <c r="H32" s="29">
        <f t="shared" si="16"/>
        <v>0</v>
      </c>
      <c r="I32" s="29">
        <f t="shared" si="16"/>
        <v>-46.81318681318682</v>
      </c>
      <c r="J32" s="29">
        <f t="shared" si="16"/>
        <v>-22.94505494505495</v>
      </c>
      <c r="K32" s="29">
        <f t="shared" si="16"/>
        <v>-7.41758241758242</v>
      </c>
      <c r="L32" s="29">
        <f t="shared" si="16"/>
        <v>-5.376263736263737</v>
      </c>
      <c r="M32" s="75"/>
    </row>
    <row r="33" spans="1:13" s="3" customFormat="1" ht="12" thickBot="1">
      <c r="A33" s="16"/>
      <c r="B33" s="30"/>
      <c r="C33" s="31"/>
      <c r="D33" s="31"/>
      <c r="E33" s="31"/>
      <c r="F33" s="31"/>
      <c r="G33" s="31"/>
      <c r="H33" s="31"/>
      <c r="I33" s="31"/>
      <c r="J33" s="31"/>
      <c r="K33" s="31"/>
      <c r="L33" s="31"/>
      <c r="M33" s="75"/>
    </row>
    <row r="34" spans="1:13" s="3" customFormat="1" ht="12" thickTop="1">
      <c r="A34" s="16" t="s">
        <v>16</v>
      </c>
      <c r="B34" s="23">
        <f aca="true" t="shared" si="17" ref="B34:L34">B31-B32</f>
        <v>1.4835164835164836</v>
      </c>
      <c r="C34" s="24">
        <f t="shared" si="17"/>
        <v>0</v>
      </c>
      <c r="D34" s="24">
        <f t="shared" si="17"/>
        <v>0</v>
      </c>
      <c r="E34" s="24">
        <f t="shared" si="17"/>
        <v>0</v>
      </c>
      <c r="F34" s="24">
        <f t="shared" si="17"/>
        <v>0</v>
      </c>
      <c r="G34" s="24">
        <f t="shared" si="17"/>
        <v>0</v>
      </c>
      <c r="H34" s="24">
        <f t="shared" si="17"/>
        <v>0</v>
      </c>
      <c r="I34" s="24">
        <f t="shared" si="17"/>
        <v>70.21978021978022</v>
      </c>
      <c r="J34" s="24">
        <f t="shared" si="17"/>
        <v>28.681318681318686</v>
      </c>
      <c r="K34" s="24">
        <f t="shared" si="17"/>
        <v>8.901098901098903</v>
      </c>
      <c r="L34" s="24">
        <f t="shared" si="17"/>
        <v>5.973626373626375</v>
      </c>
      <c r="M34" s="75"/>
    </row>
    <row r="35" spans="1:13" s="3" customFormat="1" ht="11.25">
      <c r="A35" s="16" t="s">
        <v>88</v>
      </c>
      <c r="B35" s="32">
        <f aca="true" t="shared" si="18" ref="B35:L35">B34/B2</f>
        <v>0.2967032967032967</v>
      </c>
      <c r="C35" s="33">
        <f t="shared" si="18"/>
        <v>0</v>
      </c>
      <c r="D35" s="33">
        <f t="shared" si="18"/>
        <v>0</v>
      </c>
      <c r="E35" s="33">
        <f t="shared" si="18"/>
        <v>0</v>
      </c>
      <c r="F35" s="33">
        <f t="shared" si="18"/>
        <v>0</v>
      </c>
      <c r="G35" s="33">
        <f t="shared" si="18"/>
        <v>0</v>
      </c>
      <c r="H35" s="33">
        <f t="shared" si="18"/>
        <v>0</v>
      </c>
      <c r="I35" s="33">
        <f t="shared" si="18"/>
        <v>0.7021978021978021</v>
      </c>
      <c r="J35" s="33">
        <f t="shared" si="18"/>
        <v>1.4340659340659343</v>
      </c>
      <c r="K35" s="33">
        <f t="shared" si="18"/>
        <v>1.7802197802197806</v>
      </c>
      <c r="L35" s="33">
        <f t="shared" si="18"/>
        <v>2.9868131868131873</v>
      </c>
      <c r="M35" s="75"/>
    </row>
    <row r="36" spans="1:13" s="3" customFormat="1" ht="11.25">
      <c r="A36" s="16" t="s">
        <v>0</v>
      </c>
      <c r="B36" s="34">
        <f>B34*'ISP Models'!B$6*12</f>
        <v>46285.71428571429</v>
      </c>
      <c r="C36" s="35">
        <f>C34*'ISP Models'!C$6*12</f>
        <v>0</v>
      </c>
      <c r="D36" s="35">
        <f>D34*'ISP Models'!D$6*12</f>
        <v>0</v>
      </c>
      <c r="E36" s="35">
        <f>E34*'ISP Models'!E$6*12</f>
        <v>0</v>
      </c>
      <c r="F36" s="35">
        <f>F34*'ISP Models'!F$6*12</f>
        <v>0</v>
      </c>
      <c r="G36" s="35">
        <f>G34*'ISP Models'!G$6*12</f>
        <v>0</v>
      </c>
      <c r="H36" s="35">
        <f>H34*'ISP Models'!H$6*12</f>
        <v>0</v>
      </c>
      <c r="I36" s="35">
        <f>I34*'ISP Models'!I$6*12</f>
        <v>2190857.1428571427</v>
      </c>
      <c r="J36" s="35">
        <f>J34*'ISP Models'!J$6*12</f>
        <v>894857.142857143</v>
      </c>
      <c r="K36" s="35">
        <f>K34*'ISP Models'!K$6*12</f>
        <v>277714.2857142858</v>
      </c>
      <c r="L36" s="35">
        <f>L34*'ISP Models'!L$6*12</f>
        <v>186377.1428571429</v>
      </c>
      <c r="M36" s="75"/>
    </row>
    <row r="37" spans="1:13" s="3" customFormat="1" ht="11.25">
      <c r="A37" s="16"/>
      <c r="B37" s="34"/>
      <c r="C37" s="35"/>
      <c r="D37" s="35"/>
      <c r="E37" s="35"/>
      <c r="F37" s="35"/>
      <c r="G37" s="35"/>
      <c r="H37" s="35"/>
      <c r="I37" s="35"/>
      <c r="J37" s="35"/>
      <c r="K37" s="35"/>
      <c r="L37" s="35"/>
      <c r="M37" s="75"/>
    </row>
    <row r="38" spans="1:13" s="3" customFormat="1" ht="11.25">
      <c r="A38" s="16" t="s">
        <v>18</v>
      </c>
      <c r="B38" s="36">
        <f>ROUNDUP(B34/'ISP Models'!$B$25,0)</f>
        <v>24</v>
      </c>
      <c r="C38" s="37">
        <f>ROUNDUP(C34/'ISP Models'!$B$25,0)</f>
        <v>0</v>
      </c>
      <c r="D38" s="38">
        <f>ROUNDUP(D34/'ISP Models'!$B$25,0)</f>
        <v>0</v>
      </c>
      <c r="E38" s="38">
        <f>ROUNDUP(E34/'ISP Models'!$B$25,0)</f>
        <v>0</v>
      </c>
      <c r="F38" s="38">
        <f>ROUNDUP(F34/'ISP Models'!$B$25,0)</f>
        <v>0</v>
      </c>
      <c r="G38" s="38">
        <f>ROUNDUP(G34/'ISP Models'!$B$25,0)</f>
        <v>0</v>
      </c>
      <c r="H38" s="38">
        <f>ROUNDUP(H34/'ISP Models'!$B$25,0)</f>
        <v>0</v>
      </c>
      <c r="I38" s="38">
        <f>ROUNDUP(I34/'ISP Models'!$B$25,0)</f>
        <v>1098</v>
      </c>
      <c r="J38" s="38">
        <f>ROUNDUP(J34/'ISP Models'!$B$25,0)</f>
        <v>449</v>
      </c>
      <c r="K38" s="38">
        <f>ROUNDUP(K34/'ISP Models'!$B$25,0)</f>
        <v>140</v>
      </c>
      <c r="L38" s="38">
        <f>ROUNDUP(L34/'ISP Models'!$B$25,0)</f>
        <v>94</v>
      </c>
      <c r="M38" s="75"/>
    </row>
    <row r="39" spans="1:13" s="3" customFormat="1" ht="11.25">
      <c r="A39" s="16" t="s">
        <v>19</v>
      </c>
      <c r="B39" s="39">
        <f>B38*'ISP Models'!$B$25</f>
        <v>1.536</v>
      </c>
      <c r="C39" s="40">
        <f>C38*'ISP Models'!$B$25</f>
        <v>0</v>
      </c>
      <c r="D39" s="41">
        <f>D38*'ISP Models'!$B$25</f>
        <v>0</v>
      </c>
      <c r="E39" s="41">
        <f>E38*'ISP Models'!$B$25</f>
        <v>0</v>
      </c>
      <c r="F39" s="41">
        <f>F38*'ISP Models'!$B$25</f>
        <v>0</v>
      </c>
      <c r="G39" s="41">
        <f>G38*'ISP Models'!$B$25</f>
        <v>0</v>
      </c>
      <c r="H39" s="41">
        <f>H38*'ISP Models'!$B$25</f>
        <v>0</v>
      </c>
      <c r="I39" s="41">
        <f>I38*'ISP Models'!$B$25</f>
        <v>70.272</v>
      </c>
      <c r="J39" s="41">
        <f>J38*'ISP Models'!$B$25</f>
        <v>28.736</v>
      </c>
      <c r="K39" s="41">
        <f>K38*'ISP Models'!$B$25</f>
        <v>8.96</v>
      </c>
      <c r="L39" s="41">
        <f>L38*'ISP Models'!$B$25</f>
        <v>6.016</v>
      </c>
      <c r="M39" s="75"/>
    </row>
    <row r="40" spans="1:13" s="3" customFormat="1" ht="11.25">
      <c r="A40" s="16" t="s">
        <v>20</v>
      </c>
      <c r="B40" s="39">
        <f aca="true" t="shared" si="19" ref="B40:L40">B39-B34</f>
        <v>0.05248351648351646</v>
      </c>
      <c r="C40" s="40">
        <f t="shared" si="19"/>
        <v>0</v>
      </c>
      <c r="D40" s="41">
        <f t="shared" si="19"/>
        <v>0</v>
      </c>
      <c r="E40" s="41">
        <f t="shared" si="19"/>
        <v>0</v>
      </c>
      <c r="F40" s="41">
        <f t="shared" si="19"/>
        <v>0</v>
      </c>
      <c r="G40" s="41">
        <f t="shared" si="19"/>
        <v>0</v>
      </c>
      <c r="H40" s="41">
        <f t="shared" si="19"/>
        <v>0</v>
      </c>
      <c r="I40" s="41">
        <f t="shared" si="19"/>
        <v>0.05221978021978657</v>
      </c>
      <c r="J40" s="41">
        <f t="shared" si="19"/>
        <v>0.05468131868131465</v>
      </c>
      <c r="K40" s="41">
        <f t="shared" si="19"/>
        <v>0.058901098901097626</v>
      </c>
      <c r="L40" s="41">
        <f t="shared" si="19"/>
        <v>0.042373626373625406</v>
      </c>
      <c r="M40" s="75"/>
    </row>
    <row r="41" spans="1:13" s="3" customFormat="1" ht="11.25">
      <c r="A41" s="16" t="s">
        <v>1</v>
      </c>
      <c r="B41" s="34">
        <f>B39*'ISP Models'!B$15*12</f>
        <v>18432</v>
      </c>
      <c r="C41" s="42">
        <f>C39*'ISP Models'!C$15*12</f>
        <v>0</v>
      </c>
      <c r="D41" s="43">
        <f>D39*'ISP Models'!D$15*12</f>
        <v>0</v>
      </c>
      <c r="E41" s="43">
        <f>E39*'ISP Models'!E$15*12</f>
        <v>0</v>
      </c>
      <c r="F41" s="43">
        <f>F39*'ISP Models'!F$15*12</f>
        <v>0</v>
      </c>
      <c r="G41" s="43">
        <f>G39*'ISP Models'!G$15*12</f>
        <v>0</v>
      </c>
      <c r="H41" s="43">
        <f>H39*'ISP Models'!H$15*12</f>
        <v>0</v>
      </c>
      <c r="I41" s="43">
        <f>I39*'ISP Models'!I$15*12</f>
        <v>843264</v>
      </c>
      <c r="J41" s="43">
        <f>J39*'ISP Models'!J$15*12</f>
        <v>344832</v>
      </c>
      <c r="K41" s="43">
        <f>K39*'ISP Models'!K$15*12</f>
        <v>107520</v>
      </c>
      <c r="L41" s="43">
        <f>L39*'ISP Models'!L$15*12</f>
        <v>72192</v>
      </c>
      <c r="M41" s="75"/>
    </row>
    <row r="42" spans="1:13" s="3" customFormat="1" ht="11.25">
      <c r="A42" s="16" t="s">
        <v>2</v>
      </c>
      <c r="B42" s="34">
        <f>IF(B14&gt;0,'ISP Models'!$B$26,0)</f>
        <v>1000</v>
      </c>
      <c r="C42" s="42">
        <f>IF(C14&gt;0,'ISP Models'!$B$26,0)</f>
        <v>0</v>
      </c>
      <c r="D42" s="43">
        <f>IF(D14&gt;0,'ISP Models'!$B$26,0)</f>
        <v>0</v>
      </c>
      <c r="E42" s="43">
        <f>IF(E14&gt;0,'ISP Models'!$B$26,0)</f>
        <v>0</v>
      </c>
      <c r="F42" s="43">
        <f>IF(F14&gt;0,'ISP Models'!$B$26,0)</f>
        <v>0</v>
      </c>
      <c r="G42" s="43">
        <f>IF(G14&gt;0,'ISP Models'!$B$26,0)</f>
        <v>0</v>
      </c>
      <c r="H42" s="43">
        <f>IF(H14&gt;0,'ISP Models'!$B$26,0)</f>
        <v>0</v>
      </c>
      <c r="I42" s="43">
        <f>IF(I14&gt;0,'ISP Models'!$B$26,0)</f>
        <v>1000</v>
      </c>
      <c r="J42" s="43">
        <f>IF(J14&gt;0,'ISP Models'!$B$26,0)</f>
        <v>1000</v>
      </c>
      <c r="K42" s="43">
        <f>IF(K14&gt;0,'ISP Models'!$B$26,0)</f>
        <v>1000</v>
      </c>
      <c r="L42" s="43">
        <f>IF(L14&gt;0,'ISP Models'!$B$26,0)</f>
        <v>1000</v>
      </c>
      <c r="M42" s="75"/>
    </row>
    <row r="43" spans="1:13" s="3" customFormat="1" ht="12" thickBot="1">
      <c r="A43" s="16"/>
      <c r="B43" s="44"/>
      <c r="C43" s="45"/>
      <c r="D43" s="45"/>
      <c r="E43" s="45"/>
      <c r="F43" s="45"/>
      <c r="G43" s="45"/>
      <c r="H43" s="45"/>
      <c r="I43" s="45"/>
      <c r="J43" s="45"/>
      <c r="K43" s="45"/>
      <c r="L43" s="46"/>
      <c r="M43" s="75"/>
    </row>
    <row r="44" spans="1:13" s="3" customFormat="1" ht="12" thickTop="1">
      <c r="A44" s="16" t="s">
        <v>9</v>
      </c>
      <c r="B44" s="34">
        <f aca="true" t="shared" si="20" ref="B44:L44">B36-(B41+B42)</f>
        <v>26853.71428571429</v>
      </c>
      <c r="C44" s="43">
        <f t="shared" si="20"/>
        <v>0</v>
      </c>
      <c r="D44" s="43">
        <f t="shared" si="20"/>
        <v>0</v>
      </c>
      <c r="E44" s="43">
        <f t="shared" si="20"/>
        <v>0</v>
      </c>
      <c r="F44" s="43">
        <f t="shared" si="20"/>
        <v>0</v>
      </c>
      <c r="G44" s="43">
        <f t="shared" si="20"/>
        <v>0</v>
      </c>
      <c r="H44" s="43">
        <f t="shared" si="20"/>
        <v>0</v>
      </c>
      <c r="I44" s="43">
        <f t="shared" si="20"/>
        <v>1346593.1428571427</v>
      </c>
      <c r="J44" s="43">
        <f t="shared" si="20"/>
        <v>549025.142857143</v>
      </c>
      <c r="K44" s="43">
        <f t="shared" si="20"/>
        <v>169194.2857142858</v>
      </c>
      <c r="L44" s="43">
        <f t="shared" si="20"/>
        <v>113185.1428571429</v>
      </c>
      <c r="M44" s="75"/>
    </row>
    <row r="45" spans="1:13" s="3" customFormat="1" ht="11.25">
      <c r="A45" s="16"/>
      <c r="B45" s="25"/>
      <c r="C45" s="26"/>
      <c r="D45" s="26"/>
      <c r="E45" s="26"/>
      <c r="F45" s="26"/>
      <c r="G45" s="26"/>
      <c r="H45" s="26"/>
      <c r="I45" s="26"/>
      <c r="J45" s="26"/>
      <c r="K45" s="26"/>
      <c r="L45" s="26"/>
      <c r="M45" s="75"/>
    </row>
    <row r="46" spans="1:13" s="3" customFormat="1" ht="11.25">
      <c r="A46" s="16" t="s">
        <v>17</v>
      </c>
      <c r="B46" s="28">
        <f aca="true" t="shared" si="21" ref="B46:L46">B34*B$14</f>
        <v>1.4835164835164836</v>
      </c>
      <c r="C46" s="29">
        <f t="shared" si="21"/>
        <v>0</v>
      </c>
      <c r="D46" s="29">
        <f t="shared" si="21"/>
        <v>0</v>
      </c>
      <c r="E46" s="29">
        <f t="shared" si="21"/>
        <v>0</v>
      </c>
      <c r="F46" s="29">
        <f t="shared" si="21"/>
        <v>0</v>
      </c>
      <c r="G46" s="29">
        <f t="shared" si="21"/>
        <v>0</v>
      </c>
      <c r="H46" s="29">
        <f t="shared" si="21"/>
        <v>0</v>
      </c>
      <c r="I46" s="29">
        <f t="shared" si="21"/>
        <v>210.65934065934067</v>
      </c>
      <c r="J46" s="29">
        <f t="shared" si="21"/>
        <v>143.40659340659343</v>
      </c>
      <c r="K46" s="29">
        <f t="shared" si="21"/>
        <v>53.406593406593416</v>
      </c>
      <c r="L46" s="29">
        <f t="shared" si="21"/>
        <v>59.736263736263744</v>
      </c>
      <c r="M46" s="75"/>
    </row>
    <row r="47" spans="1:13" s="3" customFormat="1" ht="11.25">
      <c r="A47" s="16" t="s">
        <v>89</v>
      </c>
      <c r="B47" s="34">
        <f aca="true" t="shared" si="22" ref="B47:L47">B36*B$14</f>
        <v>46285.71428571429</v>
      </c>
      <c r="C47" s="43">
        <f t="shared" si="22"/>
        <v>0</v>
      </c>
      <c r="D47" s="43">
        <f t="shared" si="22"/>
        <v>0</v>
      </c>
      <c r="E47" s="43">
        <f t="shared" si="22"/>
        <v>0</v>
      </c>
      <c r="F47" s="43">
        <f t="shared" si="22"/>
        <v>0</v>
      </c>
      <c r="G47" s="43">
        <f t="shared" si="22"/>
        <v>0</v>
      </c>
      <c r="H47" s="43">
        <f t="shared" si="22"/>
        <v>0</v>
      </c>
      <c r="I47" s="43">
        <f t="shared" si="22"/>
        <v>6572571.428571428</v>
      </c>
      <c r="J47" s="43">
        <f t="shared" si="22"/>
        <v>4474285.714285715</v>
      </c>
      <c r="K47" s="43">
        <f t="shared" si="22"/>
        <v>1666285.7142857148</v>
      </c>
      <c r="L47" s="43">
        <f t="shared" si="22"/>
        <v>1863771.428571429</v>
      </c>
      <c r="M47" s="75"/>
    </row>
    <row r="48" spans="1:13" s="3" customFormat="1" ht="11.25">
      <c r="A48" s="16" t="s">
        <v>14</v>
      </c>
      <c r="B48" s="34">
        <f aca="true" t="shared" si="23" ref="B48:L48">B41*B14</f>
        <v>18432</v>
      </c>
      <c r="C48" s="35">
        <f t="shared" si="23"/>
        <v>0</v>
      </c>
      <c r="D48" s="35">
        <f t="shared" si="23"/>
        <v>0</v>
      </c>
      <c r="E48" s="35">
        <f t="shared" si="23"/>
        <v>0</v>
      </c>
      <c r="F48" s="35">
        <f t="shared" si="23"/>
        <v>0</v>
      </c>
      <c r="G48" s="35">
        <f t="shared" si="23"/>
        <v>0</v>
      </c>
      <c r="H48" s="35">
        <f t="shared" si="23"/>
        <v>0</v>
      </c>
      <c r="I48" s="35">
        <f t="shared" si="23"/>
        <v>2529792</v>
      </c>
      <c r="J48" s="35">
        <f t="shared" si="23"/>
        <v>1724160</v>
      </c>
      <c r="K48" s="35">
        <f t="shared" si="23"/>
        <v>645120</v>
      </c>
      <c r="L48" s="35">
        <f t="shared" si="23"/>
        <v>721920</v>
      </c>
      <c r="M48" s="75"/>
    </row>
    <row r="49" spans="1:13" s="3" customFormat="1" ht="11.25">
      <c r="A49" s="16" t="s">
        <v>15</v>
      </c>
      <c r="B49" s="34">
        <f aca="true" t="shared" si="24" ref="B49:L49">B42*B14</f>
        <v>1000</v>
      </c>
      <c r="C49" s="35">
        <f t="shared" si="24"/>
        <v>0</v>
      </c>
      <c r="D49" s="35">
        <f t="shared" si="24"/>
        <v>0</v>
      </c>
      <c r="E49" s="35">
        <f t="shared" si="24"/>
        <v>0</v>
      </c>
      <c r="F49" s="35">
        <f t="shared" si="24"/>
        <v>0</v>
      </c>
      <c r="G49" s="35">
        <f t="shared" si="24"/>
        <v>0</v>
      </c>
      <c r="H49" s="35">
        <f t="shared" si="24"/>
        <v>0</v>
      </c>
      <c r="I49" s="35">
        <f t="shared" si="24"/>
        <v>3000</v>
      </c>
      <c r="J49" s="35">
        <f t="shared" si="24"/>
        <v>5000</v>
      </c>
      <c r="K49" s="35">
        <f t="shared" si="24"/>
        <v>6000</v>
      </c>
      <c r="L49" s="35">
        <f t="shared" si="24"/>
        <v>10000</v>
      </c>
      <c r="M49" s="75"/>
    </row>
    <row r="50" spans="1:13" s="3" customFormat="1" ht="12" thickBot="1">
      <c r="A50" s="16"/>
      <c r="B50" s="44"/>
      <c r="C50" s="45"/>
      <c r="D50" s="45"/>
      <c r="E50" s="45"/>
      <c r="F50" s="45"/>
      <c r="G50" s="45"/>
      <c r="H50" s="45"/>
      <c r="I50" s="45"/>
      <c r="J50" s="45"/>
      <c r="K50" s="45"/>
      <c r="L50" s="45"/>
      <c r="M50" s="75"/>
    </row>
    <row r="51" spans="1:13" s="3" customFormat="1" ht="12.75" thickBot="1" thickTop="1">
      <c r="A51" s="91" t="s">
        <v>9</v>
      </c>
      <c r="B51" s="47">
        <f aca="true" t="shared" si="25" ref="B51:L51">B47-(B48+B49)</f>
        <v>26853.71428571429</v>
      </c>
      <c r="C51" s="86">
        <f t="shared" si="25"/>
        <v>0</v>
      </c>
      <c r="D51" s="87">
        <f t="shared" si="25"/>
        <v>0</v>
      </c>
      <c r="E51" s="87">
        <f t="shared" si="25"/>
        <v>0</v>
      </c>
      <c r="F51" s="87">
        <f t="shared" si="25"/>
        <v>0</v>
      </c>
      <c r="G51" s="87">
        <f t="shared" si="25"/>
        <v>0</v>
      </c>
      <c r="H51" s="87">
        <f t="shared" si="25"/>
        <v>0</v>
      </c>
      <c r="I51" s="87">
        <f t="shared" si="25"/>
        <v>4039779.428571428</v>
      </c>
      <c r="J51" s="87">
        <f t="shared" si="25"/>
        <v>2745125.7142857146</v>
      </c>
      <c r="K51" s="87">
        <f t="shared" si="25"/>
        <v>1015165.7142857148</v>
      </c>
      <c r="L51" s="88">
        <f t="shared" si="25"/>
        <v>1131851.428571429</v>
      </c>
      <c r="M51" s="11"/>
    </row>
    <row r="52" s="3" customFormat="1" ht="11.25">
      <c r="M52" s="11"/>
    </row>
    <row r="53" spans="1:2" s="3" customFormat="1" ht="11.25">
      <c r="A53" s="3" t="s">
        <v>73</v>
      </c>
      <c r="B53" s="48">
        <f>SUM(B16:L16)/SUM(B6:L6)</f>
        <v>0.8443907740611037</v>
      </c>
    </row>
    <row r="54" spans="1:2" s="3" customFormat="1" ht="11.25">
      <c r="A54" s="3" t="s">
        <v>21</v>
      </c>
      <c r="B54" s="48">
        <f>+SUM(B16:L16)/SUM(B12:L12)</f>
        <v>1</v>
      </c>
    </row>
    <row r="55" s="3" customFormat="1" ht="12" thickBot="1"/>
    <row r="56" spans="1:2" s="3" customFormat="1" ht="12" thickBot="1">
      <c r="A56" s="90" t="s">
        <v>90</v>
      </c>
      <c r="B56" s="89">
        <f>SUM(B47:L47)</f>
        <v>14623200.000000002</v>
      </c>
    </row>
    <row r="57" s="3" customFormat="1" ht="11.25"/>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L27"/>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A21" sqref="A21:A26"/>
    </sheetView>
  </sheetViews>
  <sheetFormatPr defaultColWidth="9.140625" defaultRowHeight="12.75"/>
  <cols>
    <col min="1" max="1" width="35.00390625" style="3" customWidth="1"/>
    <col min="2" max="2" width="8.57421875" style="3" bestFit="1" customWidth="1"/>
    <col min="3" max="3" width="12.8515625" style="3" bestFit="1" customWidth="1"/>
    <col min="4" max="4" width="11.421875" style="3" bestFit="1" customWidth="1"/>
    <col min="5" max="7" width="10.7109375" style="3" bestFit="1" customWidth="1"/>
    <col min="8" max="9" width="9.8515625" style="3" bestFit="1" customWidth="1"/>
    <col min="10" max="11" width="8.421875" style="3" bestFit="1" customWidth="1"/>
    <col min="12" max="12" width="7.7109375" style="3" bestFit="1" customWidth="1"/>
    <col min="13" max="16384" width="9.140625" style="3" customWidth="1"/>
  </cols>
  <sheetData>
    <row r="1" ht="12" thickBot="1">
      <c r="A1" s="50" t="s">
        <v>63</v>
      </c>
    </row>
    <row r="2" spans="1:12" ht="11.25">
      <c r="A2" s="51" t="s">
        <v>55</v>
      </c>
      <c r="B2" s="4" t="s">
        <v>34</v>
      </c>
      <c r="C2" s="5" t="s">
        <v>59</v>
      </c>
      <c r="D2" s="5"/>
      <c r="E2" s="5"/>
      <c r="F2" s="6" t="s">
        <v>25</v>
      </c>
      <c r="G2" s="6"/>
      <c r="H2" s="6"/>
      <c r="I2" s="7" t="s">
        <v>26</v>
      </c>
      <c r="J2" s="7"/>
      <c r="K2" s="7"/>
      <c r="L2" s="7"/>
    </row>
    <row r="3" spans="1:12" ht="11.25">
      <c r="A3" s="51" t="s">
        <v>56</v>
      </c>
      <c r="B3" s="9" t="s">
        <v>35</v>
      </c>
      <c r="C3" s="52" t="s">
        <v>60</v>
      </c>
      <c r="D3" s="3" t="s">
        <v>61</v>
      </c>
      <c r="E3" s="3" t="s">
        <v>62</v>
      </c>
      <c r="F3" s="11" t="s">
        <v>27</v>
      </c>
      <c r="G3" s="3" t="s">
        <v>28</v>
      </c>
      <c r="H3" s="3" t="s">
        <v>29</v>
      </c>
      <c r="I3" s="11" t="s">
        <v>30</v>
      </c>
      <c r="J3" s="3" t="s">
        <v>31</v>
      </c>
      <c r="K3" s="3" t="s">
        <v>32</v>
      </c>
      <c r="L3" s="3" t="s">
        <v>33</v>
      </c>
    </row>
    <row r="4" spans="1:12" ht="11.25">
      <c r="A4" s="2" t="s">
        <v>36</v>
      </c>
      <c r="B4" s="53"/>
      <c r="C4" s="54"/>
      <c r="D4" s="55"/>
      <c r="E4" s="55"/>
      <c r="F4" s="56"/>
      <c r="G4" s="55"/>
      <c r="H4" s="55"/>
      <c r="I4" s="56"/>
      <c r="J4" s="55"/>
      <c r="K4" s="55"/>
      <c r="L4" s="55"/>
    </row>
    <row r="5" spans="1:12" ht="11.25">
      <c r="A5" s="78" t="s">
        <v>57</v>
      </c>
      <c r="B5" s="57">
        <v>5</v>
      </c>
      <c r="C5" s="58">
        <v>50000</v>
      </c>
      <c r="D5" s="59">
        <v>10000</v>
      </c>
      <c r="E5" s="59">
        <v>2500</v>
      </c>
      <c r="F5" s="60">
        <v>1000</v>
      </c>
      <c r="G5" s="59">
        <v>500</v>
      </c>
      <c r="H5" s="59">
        <v>250</v>
      </c>
      <c r="I5" s="60">
        <v>100</v>
      </c>
      <c r="J5" s="59">
        <v>20</v>
      </c>
      <c r="K5" s="59">
        <v>5</v>
      </c>
      <c r="L5" s="59">
        <v>2</v>
      </c>
    </row>
    <row r="6" spans="1:12" ht="11.25">
      <c r="A6" s="92" t="s">
        <v>50</v>
      </c>
      <c r="B6" s="34">
        <f>$B$21</f>
        <v>2600</v>
      </c>
      <c r="C6" s="43">
        <f aca="true" t="shared" si="0" ref="B6:L6">$B$21</f>
        <v>2600</v>
      </c>
      <c r="D6" s="43">
        <f t="shared" si="0"/>
        <v>2600</v>
      </c>
      <c r="E6" s="43">
        <f t="shared" si="0"/>
        <v>2600</v>
      </c>
      <c r="F6" s="43">
        <f t="shared" si="0"/>
        <v>2600</v>
      </c>
      <c r="G6" s="43">
        <f t="shared" si="0"/>
        <v>2600</v>
      </c>
      <c r="H6" s="43">
        <f t="shared" si="0"/>
        <v>2600</v>
      </c>
      <c r="I6" s="43">
        <f t="shared" si="0"/>
        <v>2600</v>
      </c>
      <c r="J6" s="43">
        <f t="shared" si="0"/>
        <v>2600</v>
      </c>
      <c r="K6" s="43">
        <f t="shared" si="0"/>
        <v>2600</v>
      </c>
      <c r="L6" s="43">
        <f t="shared" si="0"/>
        <v>2600</v>
      </c>
    </row>
    <row r="7" spans="1:12" ht="11.25">
      <c r="A7" s="8" t="s">
        <v>52</v>
      </c>
      <c r="B7" s="34">
        <f>B5*B6</f>
        <v>13000</v>
      </c>
      <c r="C7" s="43">
        <f>C5*C6</f>
        <v>130000000</v>
      </c>
      <c r="D7" s="43">
        <f aca="true" t="shared" si="1" ref="D7:L7">D5*D6</f>
        <v>26000000</v>
      </c>
      <c r="E7" s="43">
        <f t="shared" si="1"/>
        <v>6500000</v>
      </c>
      <c r="F7" s="43">
        <f t="shared" si="1"/>
        <v>2600000</v>
      </c>
      <c r="G7" s="43">
        <f t="shared" si="1"/>
        <v>1300000</v>
      </c>
      <c r="H7" s="43">
        <f t="shared" si="1"/>
        <v>650000</v>
      </c>
      <c r="I7" s="43">
        <f t="shared" si="1"/>
        <v>260000</v>
      </c>
      <c r="J7" s="43">
        <f t="shared" si="1"/>
        <v>52000</v>
      </c>
      <c r="K7" s="43">
        <f t="shared" si="1"/>
        <v>13000</v>
      </c>
      <c r="L7" s="43">
        <f t="shared" si="1"/>
        <v>5200</v>
      </c>
    </row>
    <row r="8" spans="1:12" ht="11.25">
      <c r="A8" s="8"/>
      <c r="B8" s="34"/>
      <c r="C8" s="43"/>
      <c r="D8" s="43"/>
      <c r="E8" s="43"/>
      <c r="F8" s="43"/>
      <c r="G8" s="43"/>
      <c r="H8" s="43"/>
      <c r="I8" s="43"/>
      <c r="J8" s="43"/>
      <c r="K8" s="43"/>
      <c r="L8" s="43"/>
    </row>
    <row r="9" spans="1:12" ht="11.25">
      <c r="A9" s="8" t="s">
        <v>51</v>
      </c>
      <c r="B9" s="34">
        <f>B7*12</f>
        <v>156000</v>
      </c>
      <c r="C9" s="43">
        <f>C7*12</f>
        <v>1560000000</v>
      </c>
      <c r="D9" s="43">
        <f aca="true" t="shared" si="2" ref="D9:L9">D7*12</f>
        <v>312000000</v>
      </c>
      <c r="E9" s="43">
        <f t="shared" si="2"/>
        <v>78000000</v>
      </c>
      <c r="F9" s="43">
        <f t="shared" si="2"/>
        <v>31200000</v>
      </c>
      <c r="G9" s="43">
        <f t="shared" si="2"/>
        <v>15600000</v>
      </c>
      <c r="H9" s="43">
        <f t="shared" si="2"/>
        <v>7800000</v>
      </c>
      <c r="I9" s="43">
        <f t="shared" si="2"/>
        <v>3120000</v>
      </c>
      <c r="J9" s="43">
        <f t="shared" si="2"/>
        <v>624000</v>
      </c>
      <c r="K9" s="43">
        <f t="shared" si="2"/>
        <v>156000</v>
      </c>
      <c r="L9" s="43">
        <f t="shared" si="2"/>
        <v>62400</v>
      </c>
    </row>
    <row r="10" spans="1:12" ht="11.25">
      <c r="A10" s="8"/>
      <c r="B10" s="34"/>
      <c r="C10" s="43"/>
      <c r="D10" s="43"/>
      <c r="E10" s="43"/>
      <c r="F10" s="43"/>
      <c r="G10" s="43"/>
      <c r="H10" s="43"/>
      <c r="I10" s="43"/>
      <c r="J10" s="43"/>
      <c r="K10" s="43"/>
      <c r="L10" s="43"/>
    </row>
    <row r="11" spans="1:12" ht="11.25">
      <c r="A11" s="92" t="s">
        <v>24</v>
      </c>
      <c r="B11" s="93">
        <f>$B$23</f>
        <v>0.3</v>
      </c>
      <c r="C11" s="94">
        <f aca="true" t="shared" si="3" ref="C11:L11">$B$23</f>
        <v>0.3</v>
      </c>
      <c r="D11" s="95">
        <f t="shared" si="3"/>
        <v>0.3</v>
      </c>
      <c r="E11" s="95">
        <f t="shared" si="3"/>
        <v>0.3</v>
      </c>
      <c r="F11" s="95">
        <f t="shared" si="3"/>
        <v>0.3</v>
      </c>
      <c r="G11" s="95">
        <f t="shared" si="3"/>
        <v>0.3</v>
      </c>
      <c r="H11" s="95">
        <f t="shared" si="3"/>
        <v>0.3</v>
      </c>
      <c r="I11" s="95">
        <f t="shared" si="3"/>
        <v>0.3</v>
      </c>
      <c r="J11" s="95">
        <f t="shared" si="3"/>
        <v>0.3</v>
      </c>
      <c r="K11" s="95">
        <f t="shared" si="3"/>
        <v>0.3</v>
      </c>
      <c r="L11" s="95">
        <f t="shared" si="3"/>
        <v>0.3</v>
      </c>
    </row>
    <row r="12" spans="1:12" ht="11.25">
      <c r="A12" s="8" t="s">
        <v>54</v>
      </c>
      <c r="B12" s="36">
        <f>B11*B5</f>
        <v>1.5</v>
      </c>
      <c r="C12" s="38">
        <f>C11*C5</f>
        <v>15000</v>
      </c>
      <c r="D12" s="38">
        <f aca="true" t="shared" si="4" ref="D12:L12">D11*D5</f>
        <v>3000</v>
      </c>
      <c r="E12" s="38">
        <f t="shared" si="4"/>
        <v>750</v>
      </c>
      <c r="F12" s="38">
        <f t="shared" si="4"/>
        <v>300</v>
      </c>
      <c r="G12" s="38">
        <f t="shared" si="4"/>
        <v>150</v>
      </c>
      <c r="H12" s="38">
        <f t="shared" si="4"/>
        <v>75</v>
      </c>
      <c r="I12" s="38">
        <f t="shared" si="4"/>
        <v>30</v>
      </c>
      <c r="J12" s="38">
        <f t="shared" si="4"/>
        <v>6</v>
      </c>
      <c r="K12" s="38">
        <f t="shared" si="4"/>
        <v>1.5</v>
      </c>
      <c r="L12" s="38">
        <f t="shared" si="4"/>
        <v>0.6</v>
      </c>
    </row>
    <row r="13" spans="1:12" ht="11.25">
      <c r="A13" s="8" t="s">
        <v>53</v>
      </c>
      <c r="B13" s="61">
        <f>B9*B11</f>
        <v>46800</v>
      </c>
      <c r="C13" s="62">
        <f>C9*C11</f>
        <v>468000000</v>
      </c>
      <c r="D13" s="62">
        <f aca="true" t="shared" si="5" ref="D13:L13">D9*D11</f>
        <v>93600000</v>
      </c>
      <c r="E13" s="62">
        <f t="shared" si="5"/>
        <v>23400000</v>
      </c>
      <c r="F13" s="62">
        <f t="shared" si="5"/>
        <v>9360000</v>
      </c>
      <c r="G13" s="62">
        <f t="shared" si="5"/>
        <v>4680000</v>
      </c>
      <c r="H13" s="62">
        <f t="shared" si="5"/>
        <v>2340000</v>
      </c>
      <c r="I13" s="62">
        <f t="shared" si="5"/>
        <v>936000</v>
      </c>
      <c r="J13" s="62">
        <f t="shared" si="5"/>
        <v>187200</v>
      </c>
      <c r="K13" s="62">
        <f t="shared" si="5"/>
        <v>46800</v>
      </c>
      <c r="L13" s="62">
        <f t="shared" si="5"/>
        <v>18720</v>
      </c>
    </row>
    <row r="14" spans="1:12" ht="11.25">
      <c r="A14" s="8"/>
      <c r="B14" s="36"/>
      <c r="C14" s="38"/>
      <c r="D14" s="38"/>
      <c r="E14" s="38"/>
      <c r="F14" s="38"/>
      <c r="G14" s="38"/>
      <c r="H14" s="38"/>
      <c r="I14" s="38"/>
      <c r="J14" s="38"/>
      <c r="K14" s="38"/>
      <c r="L14" s="38"/>
    </row>
    <row r="15" spans="1:12" ht="11.25">
      <c r="A15" s="92" t="s">
        <v>58</v>
      </c>
      <c r="B15" s="34">
        <f>$B$22</f>
        <v>1000</v>
      </c>
      <c r="C15" s="43">
        <f aca="true" t="shared" si="6" ref="B15:L15">$B$22</f>
        <v>1000</v>
      </c>
      <c r="D15" s="43">
        <f t="shared" si="6"/>
        <v>1000</v>
      </c>
      <c r="E15" s="43">
        <f t="shared" si="6"/>
        <v>1000</v>
      </c>
      <c r="F15" s="43">
        <f t="shared" si="6"/>
        <v>1000</v>
      </c>
      <c r="G15" s="43">
        <f t="shared" si="6"/>
        <v>1000</v>
      </c>
      <c r="H15" s="43">
        <f t="shared" si="6"/>
        <v>1000</v>
      </c>
      <c r="I15" s="43">
        <f t="shared" si="6"/>
        <v>1000</v>
      </c>
      <c r="J15" s="43">
        <f t="shared" si="6"/>
        <v>1000</v>
      </c>
      <c r="K15" s="43">
        <f t="shared" si="6"/>
        <v>1000</v>
      </c>
      <c r="L15" s="43">
        <f t="shared" si="6"/>
        <v>1000</v>
      </c>
    </row>
    <row r="16" spans="1:12" ht="11.25">
      <c r="A16" s="8" t="s">
        <v>66</v>
      </c>
      <c r="B16" s="34">
        <f>B15*B12</f>
        <v>1500</v>
      </c>
      <c r="C16" s="43">
        <f>C15*C12</f>
        <v>15000000</v>
      </c>
      <c r="D16" s="43">
        <f aca="true" t="shared" si="7" ref="D16:L16">D15*D12</f>
        <v>3000000</v>
      </c>
      <c r="E16" s="43">
        <f t="shared" si="7"/>
        <v>750000</v>
      </c>
      <c r="F16" s="43">
        <f t="shared" si="7"/>
        <v>300000</v>
      </c>
      <c r="G16" s="43">
        <f t="shared" si="7"/>
        <v>150000</v>
      </c>
      <c r="H16" s="43">
        <f t="shared" si="7"/>
        <v>75000</v>
      </c>
      <c r="I16" s="43">
        <f t="shared" si="7"/>
        <v>30000</v>
      </c>
      <c r="J16" s="43">
        <f t="shared" si="7"/>
        <v>6000</v>
      </c>
      <c r="K16" s="43">
        <f t="shared" si="7"/>
        <v>1500</v>
      </c>
      <c r="L16" s="43">
        <f t="shared" si="7"/>
        <v>600</v>
      </c>
    </row>
    <row r="17" spans="1:12" s="52" customFormat="1" ht="11.25">
      <c r="A17" s="63"/>
      <c r="B17" s="38"/>
      <c r="C17" s="38"/>
      <c r="D17" s="38"/>
      <c r="E17" s="38"/>
      <c r="F17" s="38"/>
      <c r="G17" s="38"/>
      <c r="H17" s="38"/>
      <c r="I17" s="38"/>
      <c r="J17" s="38"/>
      <c r="K17" s="38"/>
      <c r="L17" s="38"/>
    </row>
    <row r="18" spans="1:12" s="52" customFormat="1" ht="11.25">
      <c r="A18" s="63"/>
      <c r="B18" s="38"/>
      <c r="C18" s="38"/>
      <c r="D18" s="38"/>
      <c r="E18" s="38"/>
      <c r="F18" s="38"/>
      <c r="G18" s="38"/>
      <c r="H18" s="38"/>
      <c r="I18" s="38"/>
      <c r="J18" s="38"/>
      <c r="K18" s="38"/>
      <c r="L18" s="38"/>
    </row>
    <row r="19" spans="1:12" s="52" customFormat="1" ht="11.25">
      <c r="A19" s="63"/>
      <c r="B19" s="38"/>
      <c r="C19" s="38"/>
      <c r="D19" s="38"/>
      <c r="E19" s="38"/>
      <c r="F19" s="38"/>
      <c r="G19" s="38"/>
      <c r="H19" s="38"/>
      <c r="I19" s="38"/>
      <c r="J19" s="38"/>
      <c r="K19" s="38"/>
      <c r="L19" s="38"/>
    </row>
    <row r="20" spans="1:12" s="52" customFormat="1" ht="11.25">
      <c r="A20" s="96" t="s">
        <v>6</v>
      </c>
      <c r="B20" s="38"/>
      <c r="C20" s="38"/>
      <c r="D20" s="38"/>
      <c r="E20" s="38"/>
      <c r="F20" s="38"/>
      <c r="G20" s="38"/>
      <c r="H20" s="38"/>
      <c r="I20" s="38"/>
      <c r="J20" s="38"/>
      <c r="K20" s="38"/>
      <c r="L20" s="38"/>
    </row>
    <row r="21" spans="1:12" s="52" customFormat="1" ht="11.25">
      <c r="A21" s="64" t="s">
        <v>3</v>
      </c>
      <c r="B21" s="43">
        <v>2600</v>
      </c>
      <c r="C21" s="38"/>
      <c r="D21" s="38"/>
      <c r="E21" s="38"/>
      <c r="F21" s="38"/>
      <c r="G21" s="38"/>
      <c r="H21" s="38"/>
      <c r="I21" s="38"/>
      <c r="J21" s="38"/>
      <c r="K21" s="38"/>
      <c r="L21" s="38"/>
    </row>
    <row r="22" spans="1:12" ht="11.25">
      <c r="A22" s="16" t="s">
        <v>4</v>
      </c>
      <c r="B22" s="35">
        <v>1000</v>
      </c>
      <c r="C22" s="10"/>
      <c r="D22" s="10"/>
      <c r="E22" s="10"/>
      <c r="F22" s="10"/>
      <c r="G22" s="10"/>
      <c r="H22" s="10"/>
      <c r="I22" s="10"/>
      <c r="J22" s="10"/>
      <c r="K22" s="10"/>
      <c r="L22" s="10"/>
    </row>
    <row r="23" spans="1:12" ht="11.25">
      <c r="A23" s="16" t="s">
        <v>7</v>
      </c>
      <c r="B23" s="22">
        <v>0.3</v>
      </c>
      <c r="C23" s="10"/>
      <c r="D23" s="10"/>
      <c r="E23" s="10"/>
      <c r="F23" s="10"/>
      <c r="G23" s="10"/>
      <c r="H23" s="10"/>
      <c r="I23" s="10"/>
      <c r="J23" s="10"/>
      <c r="K23" s="10"/>
      <c r="L23" s="10"/>
    </row>
    <row r="24" spans="1:12" ht="11.25">
      <c r="A24" s="16"/>
      <c r="B24" s="22"/>
      <c r="C24" s="10"/>
      <c r="D24" s="10"/>
      <c r="E24" s="10"/>
      <c r="F24" s="10"/>
      <c r="G24" s="10"/>
      <c r="H24" s="10"/>
      <c r="I24" s="10"/>
      <c r="J24" s="10"/>
      <c r="K24" s="10"/>
      <c r="L24" s="10"/>
    </row>
    <row r="25" spans="1:12" ht="11.25">
      <c r="A25" s="16" t="s">
        <v>5</v>
      </c>
      <c r="B25" s="65">
        <v>0.064</v>
      </c>
      <c r="C25" s="10"/>
      <c r="D25" s="10"/>
      <c r="E25" s="10"/>
      <c r="F25" s="10"/>
      <c r="G25" s="10"/>
      <c r="H25" s="10"/>
      <c r="I25" s="10"/>
      <c r="J25" s="10"/>
      <c r="K25" s="10"/>
      <c r="L25" s="10"/>
    </row>
    <row r="26" spans="1:12" ht="11.25">
      <c r="A26" s="16" t="s">
        <v>8</v>
      </c>
      <c r="B26" s="35">
        <v>1000</v>
      </c>
      <c r="C26" s="10"/>
      <c r="D26" s="10"/>
      <c r="E26" s="10"/>
      <c r="F26" s="10"/>
      <c r="G26" s="10"/>
      <c r="H26" s="10"/>
      <c r="I26" s="10"/>
      <c r="J26" s="10"/>
      <c r="K26" s="10"/>
      <c r="L26" s="10"/>
    </row>
    <row r="27" spans="2:12" ht="11.25">
      <c r="B27" s="10"/>
      <c r="C27" s="10"/>
      <c r="D27" s="10"/>
      <c r="E27" s="10"/>
      <c r="F27" s="10"/>
      <c r="G27" s="10"/>
      <c r="H27" s="10"/>
      <c r="I27" s="10"/>
      <c r="J27" s="10"/>
      <c r="K27" s="10"/>
      <c r="L27" s="10"/>
    </row>
  </sheetData>
  <printOptions/>
  <pageMargins left="0.75" right="0.75" top="1" bottom="1" header="0.5" footer="0.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5:B17"/>
  <sheetViews>
    <sheetView workbookViewId="0" topLeftCell="A1">
      <selection activeCell="B13" sqref="B13"/>
    </sheetView>
  </sheetViews>
  <sheetFormatPr defaultColWidth="9.140625" defaultRowHeight="12.75"/>
  <cols>
    <col min="1" max="1" width="17.421875" style="0" customWidth="1"/>
    <col min="2" max="16384" width="8.8515625" style="0" customWidth="1"/>
  </cols>
  <sheetData>
    <row r="5" ht="12.75">
      <c r="A5" t="s">
        <v>37</v>
      </c>
    </row>
    <row r="6" ht="12.75">
      <c r="B6" t="s">
        <v>49</v>
      </c>
    </row>
    <row r="7" spans="1:2" ht="12.75">
      <c r="A7" t="s">
        <v>38</v>
      </c>
      <c r="B7" s="1">
        <v>0.056</v>
      </c>
    </row>
    <row r="8" spans="1:2" ht="12.75">
      <c r="A8" t="s">
        <v>39</v>
      </c>
      <c r="B8" s="1">
        <v>0.064</v>
      </c>
    </row>
    <row r="9" spans="1:2" ht="12.75">
      <c r="A9" t="s">
        <v>44</v>
      </c>
      <c r="B9" s="1">
        <v>0.128</v>
      </c>
    </row>
    <row r="10" spans="1:2" ht="12.75">
      <c r="A10" t="s">
        <v>40</v>
      </c>
      <c r="B10" s="1">
        <v>0.4</v>
      </c>
    </row>
    <row r="11" spans="1:2" ht="12.75">
      <c r="A11" t="s">
        <v>41</v>
      </c>
      <c r="B11" s="1">
        <v>1.5</v>
      </c>
    </row>
    <row r="12" spans="1:2" ht="12.75">
      <c r="A12" t="s">
        <v>42</v>
      </c>
      <c r="B12" s="1">
        <v>2</v>
      </c>
    </row>
    <row r="13" spans="1:2" ht="12.75">
      <c r="A13" t="s">
        <v>43</v>
      </c>
      <c r="B13" s="1">
        <v>6.3</v>
      </c>
    </row>
    <row r="14" spans="1:2" ht="12.75">
      <c r="A14" t="s">
        <v>45</v>
      </c>
      <c r="B14" s="1">
        <v>45</v>
      </c>
    </row>
    <row r="15" spans="1:2" ht="12.75">
      <c r="A15" t="s">
        <v>46</v>
      </c>
      <c r="B15" s="1">
        <v>100</v>
      </c>
    </row>
    <row r="16" spans="1:2" ht="12.75">
      <c r="A16" t="s">
        <v>47</v>
      </c>
      <c r="B16" s="1">
        <v>155</v>
      </c>
    </row>
    <row r="17" spans="1:2" ht="12.75">
      <c r="A17" t="s">
        <v>48</v>
      </c>
      <c r="B17" s="1">
        <v>1244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rogers ackermann</dc:creator>
  <cp:keywords/>
  <dc:description/>
  <cp:lastModifiedBy>Pam Sykes</cp:lastModifiedBy>
  <cp:lastPrinted>2005-06-10T11:37:51Z</cp:lastPrinted>
  <dcterms:created xsi:type="dcterms:W3CDTF">2005-04-18T10:11:08Z</dcterms:created>
  <dcterms:modified xsi:type="dcterms:W3CDTF">2005-06-21T08:51:59Z</dcterms:modified>
  <cp:category/>
  <cp:version/>
  <cp:contentType/>
  <cp:contentStatus/>
</cp:coreProperties>
</file>